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0" windowWidth="22950" windowHeight="8430"/>
  </bookViews>
  <sheets>
    <sheet name="2019-2021" sheetId="1" r:id="rId1"/>
    <sheet name="Лист2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'2019-2021'!$A$375:$HF$375</definedName>
    <definedName name="_xlnm.Print_Titles" localSheetId="0">'2019-2021'!$4:$5</definedName>
    <definedName name="_xlnm.Print_Area" localSheetId="0">'2019-2021'!$A$1:$HF$410</definedName>
  </definedNames>
  <calcPr calcId="145621"/>
</workbook>
</file>

<file path=xl/calcChain.xml><?xml version="1.0" encoding="utf-8"?>
<calcChain xmlns="http://schemas.openxmlformats.org/spreadsheetml/2006/main">
  <c r="FT481" i="1" l="1"/>
  <c r="FQ481" i="1"/>
  <c r="FT363" i="1"/>
  <c r="FQ363" i="1"/>
  <c r="FT347" i="1"/>
  <c r="FQ347" i="1"/>
  <c r="FT183" i="1"/>
  <c r="FQ183" i="1"/>
  <c r="FT116" i="1"/>
  <c r="FQ116" i="1"/>
  <c r="FT14" i="1" l="1"/>
  <c r="FQ14" i="1"/>
  <c r="D3" i="3" l="1"/>
  <c r="D4" i="3"/>
  <c r="D2" i="3"/>
  <c r="B5" i="3"/>
  <c r="C5" i="3"/>
  <c r="D5" i="3" s="1"/>
  <c r="BW452" i="1" l="1"/>
  <c r="BZ455" i="1" s="1"/>
  <c r="BW451" i="1"/>
  <c r="BZ454" i="1" s="1"/>
  <c r="EL447" i="1"/>
  <c r="DW446" i="1"/>
  <c r="DV446" i="1"/>
  <c r="HD443" i="1"/>
  <c r="HA443" i="1"/>
  <c r="GR443" i="1"/>
  <c r="GO443" i="1"/>
  <c r="FR443" i="1"/>
  <c r="FO443" i="1"/>
  <c r="EJ443" i="1"/>
  <c r="DX443" i="1"/>
  <c r="DM443" i="1"/>
  <c r="X443" i="1"/>
  <c r="HD442" i="1"/>
  <c r="HA442" i="1"/>
  <c r="GR442" i="1"/>
  <c r="GO442" i="1"/>
  <c r="GD442" i="1"/>
  <c r="GC442" i="1"/>
  <c r="FW442" i="1"/>
  <c r="FV442" i="1"/>
  <c r="FR442" i="1"/>
  <c r="FY442" i="1" s="1"/>
  <c r="FO442" i="1"/>
  <c r="EN442" i="1"/>
  <c r="EO442" i="1" s="1"/>
  <c r="EQ442" i="1" s="1"/>
  <c r="HD441" i="1"/>
  <c r="HA441" i="1"/>
  <c r="GR441" i="1"/>
  <c r="GO441" i="1"/>
  <c r="GD441" i="1"/>
  <c r="GC441" i="1"/>
  <c r="FR441" i="1"/>
  <c r="FO441" i="1"/>
  <c r="EM441" i="1"/>
  <c r="EJ441" i="1"/>
  <c r="DM441" i="1"/>
  <c r="BB441" i="1"/>
  <c r="BA441" i="1"/>
  <c r="HD440" i="1"/>
  <c r="HA440" i="1"/>
  <c r="GR440" i="1"/>
  <c r="GO440" i="1"/>
  <c r="GD440" i="1"/>
  <c r="GC440" i="1"/>
  <c r="FR440" i="1"/>
  <c r="FO440" i="1"/>
  <c r="EN440" i="1"/>
  <c r="EM440" i="1"/>
  <c r="FW440" i="1" s="1"/>
  <c r="HD439" i="1"/>
  <c r="HA439" i="1"/>
  <c r="GR439" i="1"/>
  <c r="GO439" i="1"/>
  <c r="GD439" i="1"/>
  <c r="GC439" i="1"/>
  <c r="FR439" i="1"/>
  <c r="FO439" i="1"/>
  <c r="EN439" i="1"/>
  <c r="EO439" i="1" s="1"/>
  <c r="EQ439" i="1" s="1"/>
  <c r="EM439" i="1"/>
  <c r="FV439" i="1" s="1"/>
  <c r="EJ439" i="1"/>
  <c r="DM439" i="1"/>
  <c r="BB439" i="1"/>
  <c r="BA439" i="1"/>
  <c r="HD438" i="1"/>
  <c r="HA438" i="1"/>
  <c r="GO438" i="1"/>
  <c r="FR438" i="1"/>
  <c r="FO438" i="1"/>
  <c r="EJ438" i="1"/>
  <c r="DX438" i="1"/>
  <c r="DM438" i="1"/>
  <c r="BA438" i="1"/>
  <c r="U438" i="1"/>
  <c r="T438" i="1"/>
  <c r="S438" i="1"/>
  <c r="Q438" i="1"/>
  <c r="P438" i="1"/>
  <c r="O438" i="1"/>
  <c r="B438" i="1"/>
  <c r="HD437" i="1"/>
  <c r="HA437" i="1"/>
  <c r="GR437" i="1"/>
  <c r="GO437" i="1"/>
  <c r="GD437" i="1"/>
  <c r="GC437" i="1"/>
  <c r="FR437" i="1"/>
  <c r="FO437" i="1"/>
  <c r="EJ437" i="1"/>
  <c r="DM437" i="1"/>
  <c r="HD436" i="1"/>
  <c r="HA436" i="1"/>
  <c r="GR436" i="1"/>
  <c r="GO436" i="1"/>
  <c r="GD436" i="1"/>
  <c r="GC436" i="1"/>
  <c r="FR436" i="1"/>
  <c r="FO436" i="1"/>
  <c r="EJ436" i="1"/>
  <c r="DY436" i="1"/>
  <c r="DM436" i="1"/>
  <c r="HD435" i="1"/>
  <c r="HA435" i="1"/>
  <c r="GR435" i="1"/>
  <c r="GO435" i="1"/>
  <c r="GD435" i="1"/>
  <c r="GC435" i="1"/>
  <c r="FR435" i="1"/>
  <c r="FO435" i="1"/>
  <c r="EJ435" i="1"/>
  <c r="DX435" i="1"/>
  <c r="CN435" i="1"/>
  <c r="CV435" i="1" s="1"/>
  <c r="AA435" i="1"/>
  <c r="Y435" i="1"/>
  <c r="W435" i="1"/>
  <c r="V435" i="1"/>
  <c r="HD434" i="1"/>
  <c r="HA434" i="1"/>
  <c r="GR434" i="1"/>
  <c r="GO434" i="1"/>
  <c r="GD434" i="1"/>
  <c r="GC434" i="1"/>
  <c r="FR434" i="1"/>
  <c r="FO434" i="1"/>
  <c r="HD433" i="1"/>
  <c r="HA433" i="1"/>
  <c r="GR433" i="1"/>
  <c r="GO433" i="1"/>
  <c r="GD433" i="1"/>
  <c r="GC433" i="1"/>
  <c r="FR433" i="1"/>
  <c r="FO433" i="1"/>
  <c r="HD432" i="1"/>
  <c r="HA432" i="1"/>
  <c r="GR432" i="1"/>
  <c r="GO432" i="1"/>
  <c r="GD432" i="1"/>
  <c r="GC432" i="1"/>
  <c r="FR432" i="1"/>
  <c r="FO432" i="1"/>
  <c r="EJ432" i="1"/>
  <c r="DX432" i="1"/>
  <c r="DM432" i="1"/>
  <c r="HD431" i="1"/>
  <c r="HA431" i="1"/>
  <c r="GR431" i="1"/>
  <c r="GO431" i="1"/>
  <c r="GD431" i="1"/>
  <c r="GC431" i="1"/>
  <c r="FR431" i="1"/>
  <c r="FO431" i="1"/>
  <c r="EJ431" i="1"/>
  <c r="DX431" i="1"/>
  <c r="DM431" i="1"/>
  <c r="AA431" i="1"/>
  <c r="Y431" i="1"/>
  <c r="W431" i="1"/>
  <c r="V431" i="1"/>
  <c r="T431" i="1"/>
  <c r="HD430" i="1"/>
  <c r="HA430" i="1"/>
  <c r="GR430" i="1"/>
  <c r="GD430" i="1"/>
  <c r="GC430" i="1"/>
  <c r="FR430" i="1"/>
  <c r="FO430" i="1"/>
  <c r="EJ430" i="1"/>
  <c r="DX430" i="1"/>
  <c r="DM430" i="1"/>
  <c r="GX429" i="1"/>
  <c r="GY429" i="1" s="1"/>
  <c r="GZ429" i="1" s="1"/>
  <c r="FZ429" i="1"/>
  <c r="GA429" i="1" s="1"/>
  <c r="GB429" i="1" s="1"/>
  <c r="GD429" i="1" s="1"/>
  <c r="EN429" i="1"/>
  <c r="EO429" i="1" s="1"/>
  <c r="HD428" i="1"/>
  <c r="HA428" i="1"/>
  <c r="GR428" i="1"/>
  <c r="FR428" i="1"/>
  <c r="FO428" i="1"/>
  <c r="EJ428" i="1"/>
  <c r="DY428" i="1"/>
  <c r="DM428" i="1"/>
  <c r="DD428" i="1"/>
  <c r="DC428" i="1"/>
  <c r="DB428" i="1"/>
  <c r="CR428" i="1"/>
  <c r="CO428" i="1"/>
  <c r="CM428" i="1"/>
  <c r="CL428" i="1"/>
  <c r="CK428" i="1"/>
  <c r="CJ428" i="1"/>
  <c r="CI428" i="1"/>
  <c r="CH428" i="1"/>
  <c r="CG428" i="1"/>
  <c r="CF428" i="1"/>
  <c r="CE428" i="1"/>
  <c r="HD425" i="1"/>
  <c r="HA425" i="1"/>
  <c r="GR425" i="1"/>
  <c r="FR425" i="1"/>
  <c r="FO425" i="1"/>
  <c r="FN425" i="1"/>
  <c r="FM425" i="1"/>
  <c r="EM425" i="1"/>
  <c r="EM437" i="1" s="1"/>
  <c r="FV437" i="1" s="1"/>
  <c r="EL425" i="1"/>
  <c r="EL437" i="1" s="1"/>
  <c r="EJ425" i="1"/>
  <c r="DM425" i="1"/>
  <c r="U425" i="1"/>
  <c r="U437" i="1" s="1"/>
  <c r="T425" i="1"/>
  <c r="T437" i="1" s="1"/>
  <c r="S425" i="1"/>
  <c r="S437" i="1" s="1"/>
  <c r="Q425" i="1"/>
  <c r="Q437" i="1" s="1"/>
  <c r="P425" i="1"/>
  <c r="P437" i="1" s="1"/>
  <c r="O425" i="1"/>
  <c r="O437" i="1" s="1"/>
  <c r="HD424" i="1"/>
  <c r="HA424" i="1"/>
  <c r="GR424" i="1"/>
  <c r="FR424" i="1"/>
  <c r="FO424" i="1"/>
  <c r="EJ424" i="1"/>
  <c r="DM424" i="1"/>
  <c r="U424" i="1"/>
  <c r="U436" i="1" s="1"/>
  <c r="T424" i="1"/>
  <c r="T436" i="1" s="1"/>
  <c r="S424" i="1"/>
  <c r="S436" i="1" s="1"/>
  <c r="Q424" i="1"/>
  <c r="Q436" i="1" s="1"/>
  <c r="P424" i="1"/>
  <c r="P436" i="1" s="1"/>
  <c r="O424" i="1"/>
  <c r="O436" i="1" s="1"/>
  <c r="HD423" i="1"/>
  <c r="HA423" i="1"/>
  <c r="FR423" i="1"/>
  <c r="FO423" i="1"/>
  <c r="FN423" i="1"/>
  <c r="FM423" i="1"/>
  <c r="EJ423" i="1"/>
  <c r="DX423" i="1"/>
  <c r="U423" i="1"/>
  <c r="U435" i="1" s="1"/>
  <c r="T423" i="1"/>
  <c r="T435" i="1" s="1"/>
  <c r="S423" i="1"/>
  <c r="S435" i="1" s="1"/>
  <c r="Q423" i="1"/>
  <c r="Q435" i="1" s="1"/>
  <c r="P423" i="1"/>
  <c r="P435" i="1" s="1"/>
  <c r="O423" i="1"/>
  <c r="O435" i="1" s="1"/>
  <c r="HD422" i="1"/>
  <c r="HA422" i="1"/>
  <c r="GO422" i="1"/>
  <c r="FR422" i="1"/>
  <c r="FO422" i="1"/>
  <c r="FN422" i="1"/>
  <c r="FM422" i="1"/>
  <c r="EM422" i="1"/>
  <c r="EM434" i="1" s="1"/>
  <c r="EL422" i="1"/>
  <c r="EL434" i="1" s="1"/>
  <c r="HD421" i="1"/>
  <c r="HA421" i="1"/>
  <c r="GW421" i="1"/>
  <c r="GV421" i="1"/>
  <c r="GO421" i="1"/>
  <c r="FR421" i="1"/>
  <c r="FO421" i="1"/>
  <c r="FN421" i="1"/>
  <c r="FM421" i="1"/>
  <c r="EM421" i="1"/>
  <c r="EM433" i="1" s="1"/>
  <c r="EL421" i="1"/>
  <c r="EL433" i="1" s="1"/>
  <c r="ED421" i="1"/>
  <c r="EC421" i="1"/>
  <c r="HD420" i="1"/>
  <c r="HA420" i="1"/>
  <c r="FR420" i="1"/>
  <c r="FO420" i="1"/>
  <c r="FN420" i="1"/>
  <c r="FM420" i="1"/>
  <c r="EJ420" i="1"/>
  <c r="DX420" i="1"/>
  <c r="DM420" i="1"/>
  <c r="U420" i="1"/>
  <c r="U432" i="1" s="1"/>
  <c r="T420" i="1"/>
  <c r="T432" i="1" s="1"/>
  <c r="S420" i="1"/>
  <c r="S432" i="1" s="1"/>
  <c r="Q420" i="1"/>
  <c r="Q432" i="1" s="1"/>
  <c r="P420" i="1"/>
  <c r="P432" i="1" s="1"/>
  <c r="O420" i="1"/>
  <c r="O432" i="1" s="1"/>
  <c r="HD419" i="1"/>
  <c r="HA419" i="1"/>
  <c r="FR419" i="1"/>
  <c r="FO419" i="1"/>
  <c r="EM419" i="1"/>
  <c r="EM431" i="1" s="1"/>
  <c r="EJ419" i="1"/>
  <c r="DX419" i="1"/>
  <c r="DM419" i="1"/>
  <c r="U419" i="1"/>
  <c r="U431" i="1" s="1"/>
  <c r="S419" i="1"/>
  <c r="S431" i="1" s="1"/>
  <c r="Q419" i="1"/>
  <c r="Q431" i="1" s="1"/>
  <c r="P419" i="1"/>
  <c r="P431" i="1" s="1"/>
  <c r="O419" i="1"/>
  <c r="O431" i="1" s="1"/>
  <c r="HF418" i="1"/>
  <c r="FR418" i="1"/>
  <c r="FT418" i="1" s="1"/>
  <c r="FO418" i="1"/>
  <c r="EJ418" i="1"/>
  <c r="EG418" i="1"/>
  <c r="DX418" i="1"/>
  <c r="HF417" i="1"/>
  <c r="FR417" i="1"/>
  <c r="FT417" i="1" s="1"/>
  <c r="FO417" i="1"/>
  <c r="EJ417" i="1"/>
  <c r="EG417" i="1"/>
  <c r="DM417" i="1"/>
  <c r="U417" i="1"/>
  <c r="T417" i="1"/>
  <c r="S417" i="1"/>
  <c r="Q417" i="1"/>
  <c r="P417" i="1"/>
  <c r="O417" i="1"/>
  <c r="HF416" i="1"/>
  <c r="GW416" i="1"/>
  <c r="GV416" i="1"/>
  <c r="GN416" i="1"/>
  <c r="GM416" i="1"/>
  <c r="FW416" i="1"/>
  <c r="FV416" i="1"/>
  <c r="FR416" i="1"/>
  <c r="FT416" i="1" s="1"/>
  <c r="FO416" i="1"/>
  <c r="FN416" i="1"/>
  <c r="FM416" i="1"/>
  <c r="FK416" i="1"/>
  <c r="FJ416" i="1"/>
  <c r="EM416" i="1"/>
  <c r="EL416" i="1"/>
  <c r="EJ416" i="1"/>
  <c r="EG416" i="1"/>
  <c r="ED416" i="1"/>
  <c r="EC416" i="1"/>
  <c r="DM416" i="1"/>
  <c r="AA416" i="1"/>
  <c r="Y416" i="1"/>
  <c r="W416" i="1"/>
  <c r="V416" i="1"/>
  <c r="U416" i="1"/>
  <c r="T416" i="1"/>
  <c r="S416" i="1"/>
  <c r="Q416" i="1"/>
  <c r="P416" i="1"/>
  <c r="O416" i="1"/>
  <c r="HF415" i="1"/>
  <c r="GW415" i="1"/>
  <c r="GV415" i="1"/>
  <c r="FR415" i="1"/>
  <c r="FT415" i="1" s="1"/>
  <c r="FO415" i="1"/>
  <c r="FM415" i="1"/>
  <c r="EM415" i="1"/>
  <c r="EJ415" i="1"/>
  <c r="EG415" i="1"/>
  <c r="ED415" i="1"/>
  <c r="EC415" i="1"/>
  <c r="DM415" i="1"/>
  <c r="BA415" i="1"/>
  <c r="AZ415" i="1"/>
  <c r="U415" i="1"/>
  <c r="T415" i="1"/>
  <c r="S415" i="1"/>
  <c r="Q415" i="1"/>
  <c r="P415" i="1"/>
  <c r="O415" i="1"/>
  <c r="GW414" i="1"/>
  <c r="GV414" i="1"/>
  <c r="GN414" i="1"/>
  <c r="GM414" i="1"/>
  <c r="FZ413" i="1"/>
  <c r="GC413" i="1" s="1"/>
  <c r="FY413" i="1"/>
  <c r="FN413" i="1"/>
  <c r="FM413" i="1"/>
  <c r="HF412" i="1"/>
  <c r="FR412" i="1"/>
  <c r="FT412" i="1" s="1"/>
  <c r="FO412" i="1"/>
  <c r="EM412" i="1"/>
  <c r="EL412" i="1"/>
  <c r="EJ412" i="1"/>
  <c r="EG412" i="1"/>
  <c r="DX412" i="1"/>
  <c r="DM412" i="1"/>
  <c r="U412" i="1"/>
  <c r="U430" i="1" s="1"/>
  <c r="T412" i="1"/>
  <c r="T430" i="1" s="1"/>
  <c r="S412" i="1"/>
  <c r="S430" i="1" s="1"/>
  <c r="Q412" i="1"/>
  <c r="Q430" i="1" s="1"/>
  <c r="P412" i="1"/>
  <c r="P430" i="1" s="1"/>
  <c r="O412" i="1"/>
  <c r="O430" i="1" s="1"/>
  <c r="GY411" i="1"/>
  <c r="GZ411" i="1" s="1"/>
  <c r="GX411" i="1"/>
  <c r="GJ411" i="1"/>
  <c r="GI411" i="1"/>
  <c r="GD411" i="1"/>
  <c r="FZ411" i="1"/>
  <c r="GC411" i="1" s="1"/>
  <c r="FW411" i="1"/>
  <c r="FR411" i="1"/>
  <c r="GF411" i="1" s="1"/>
  <c r="FO411" i="1"/>
  <c r="GE411" i="1" s="1"/>
  <c r="FK411" i="1"/>
  <c r="FJ411" i="1"/>
  <c r="EX411" i="1"/>
  <c r="EO411" i="1"/>
  <c r="EQ411" i="1" s="1"/>
  <c r="EJ411" i="1"/>
  <c r="EG411" i="1"/>
  <c r="EC411" i="1"/>
  <c r="EA411" i="1"/>
  <c r="DW411" i="1"/>
  <c r="DY411" i="1" s="1"/>
  <c r="DM411" i="1"/>
  <c r="DK411" i="1"/>
  <c r="DJ411" i="1"/>
  <c r="DG411" i="1"/>
  <c r="DE411" i="1"/>
  <c r="CS411" i="1"/>
  <c r="CR411" i="1"/>
  <c r="CQ411" i="1"/>
  <c r="CO411" i="1"/>
  <c r="CN411" i="1"/>
  <c r="CV411" i="1" s="1"/>
  <c r="CK411" i="1"/>
  <c r="CJ411" i="1"/>
  <c r="CI411" i="1"/>
  <c r="CH411" i="1"/>
  <c r="CG411" i="1"/>
  <c r="CF411" i="1"/>
  <c r="CE411" i="1"/>
  <c r="BH411" i="1"/>
  <c r="BE411" i="1"/>
  <c r="AS411" i="1"/>
  <c r="AL411" i="1"/>
  <c r="AE411" i="1"/>
  <c r="X411" i="1"/>
  <c r="GY414" i="1"/>
  <c r="GX414" i="1"/>
  <c r="FK403" i="1"/>
  <c r="FJ403" i="1"/>
  <c r="EU403" i="1"/>
  <c r="ES403" i="1"/>
  <c r="EO403" i="1"/>
  <c r="EN403" i="1"/>
  <c r="EJ403" i="1"/>
  <c r="EG403" i="1"/>
  <c r="DM403" i="1"/>
  <c r="DG403" i="1"/>
  <c r="DF403" i="1"/>
  <c r="DE403" i="1"/>
  <c r="CZ403" i="1"/>
  <c r="DB403" i="1" s="1"/>
  <c r="CY403" i="1"/>
  <c r="CX403" i="1"/>
  <c r="DA403" i="1" s="1"/>
  <c r="CW403" i="1"/>
  <c r="DC403" i="1" s="1"/>
  <c r="CJ403" i="1"/>
  <c r="CI403" i="1"/>
  <c r="CH403" i="1"/>
  <c r="BV403" i="1"/>
  <c r="CG403" i="1" s="1"/>
  <c r="BU403" i="1"/>
  <c r="BT403" i="1"/>
  <c r="BR403" i="1"/>
  <c r="CF403" i="1" s="1"/>
  <c r="BQ403" i="1"/>
  <c r="BP403" i="1"/>
  <c r="BN403" i="1"/>
  <c r="BM403" i="1"/>
  <c r="BL403" i="1"/>
  <c r="BH403" i="1"/>
  <c r="BE403" i="1"/>
  <c r="BB403" i="1"/>
  <c r="AZ403" i="1"/>
  <c r="DW403" i="1" s="1"/>
  <c r="DY403" i="1" s="1"/>
  <c r="AU403" i="1"/>
  <c r="AS403" i="1"/>
  <c r="AG403" i="1"/>
  <c r="AE403" i="1"/>
  <c r="AB403" i="1"/>
  <c r="Z403" i="1"/>
  <c r="X403" i="1"/>
  <c r="R403" i="1"/>
  <c r="CD403" i="1" s="1"/>
  <c r="CP403" i="1" s="1"/>
  <c r="N403" i="1"/>
  <c r="BX403" i="1" s="1"/>
  <c r="L403" i="1"/>
  <c r="DL403" i="1" s="1"/>
  <c r="K403" i="1"/>
  <c r="DK403" i="1" s="1"/>
  <c r="J403" i="1"/>
  <c r="DJ403" i="1" s="1"/>
  <c r="FK402" i="1"/>
  <c r="FJ402" i="1"/>
  <c r="EU402" i="1"/>
  <c r="ES402" i="1"/>
  <c r="EO402" i="1"/>
  <c r="EQ402" i="1" s="1"/>
  <c r="EN402" i="1"/>
  <c r="EJ402" i="1"/>
  <c r="EG402" i="1"/>
  <c r="DW402" i="1"/>
  <c r="DY402" i="1" s="1"/>
  <c r="DV402" i="1"/>
  <c r="DU402" i="1"/>
  <c r="DM402" i="1"/>
  <c r="DL402" i="1"/>
  <c r="DK402" i="1"/>
  <c r="DJ402" i="1"/>
  <c r="DG402" i="1"/>
  <c r="DF402" i="1"/>
  <c r="DE402" i="1"/>
  <c r="CZ402" i="1"/>
  <c r="DB402" i="1" s="1"/>
  <c r="CY402" i="1"/>
  <c r="CX402" i="1"/>
  <c r="DD402" i="1" s="1"/>
  <c r="CW402" i="1"/>
  <c r="DC402" i="1" s="1"/>
  <c r="CN402" i="1"/>
  <c r="CV402" i="1" s="1"/>
  <c r="CM402" i="1"/>
  <c r="CL402" i="1"/>
  <c r="CK402" i="1"/>
  <c r="CJ402" i="1"/>
  <c r="CI402" i="1"/>
  <c r="CH402" i="1"/>
  <c r="CG402" i="1"/>
  <c r="CF402" i="1"/>
  <c r="BV402" i="1"/>
  <c r="BU402" i="1"/>
  <c r="BT402" i="1"/>
  <c r="BR402" i="1"/>
  <c r="BQ402" i="1"/>
  <c r="BP402" i="1"/>
  <c r="BN402" i="1"/>
  <c r="BM402" i="1"/>
  <c r="BL402" i="1"/>
  <c r="BH402" i="1"/>
  <c r="BE402" i="1"/>
  <c r="AY402" i="1"/>
  <c r="EX402" i="1" s="1"/>
  <c r="AU402" i="1"/>
  <c r="AS402" i="1"/>
  <c r="AG402" i="1"/>
  <c r="AE402" i="1"/>
  <c r="AB402" i="1"/>
  <c r="Z402" i="1"/>
  <c r="X402" i="1"/>
  <c r="R402" i="1"/>
  <c r="CE402" i="1" s="1"/>
  <c r="N402" i="1"/>
  <c r="CR402" i="1" s="1"/>
  <c r="FL400" i="1"/>
  <c r="EU400" i="1"/>
  <c r="ES400" i="1"/>
  <c r="EO400" i="1"/>
  <c r="EN400" i="1"/>
  <c r="EJ400" i="1"/>
  <c r="EG400" i="1"/>
  <c r="DM400" i="1"/>
  <c r="DG400" i="1"/>
  <c r="DF400" i="1"/>
  <c r="DE400" i="1"/>
  <c r="CZ400" i="1"/>
  <c r="CY400" i="1"/>
  <c r="CB400" i="1"/>
  <c r="CR400" i="1" s="1"/>
  <c r="BX400" i="1"/>
  <c r="BU400" i="1"/>
  <c r="BT400" i="1"/>
  <c r="BQ400" i="1"/>
  <c r="BP400" i="1"/>
  <c r="BM400" i="1"/>
  <c r="BL400" i="1"/>
  <c r="BH400" i="1"/>
  <c r="BE400" i="1"/>
  <c r="BB400" i="1"/>
  <c r="BA400" i="1"/>
  <c r="AZ400" i="1"/>
  <c r="AU400" i="1"/>
  <c r="AS400" i="1"/>
  <c r="AP400" i="1"/>
  <c r="AO400" i="1"/>
  <c r="AN400" i="1"/>
  <c r="AL400" i="1"/>
  <c r="AJ400" i="1"/>
  <c r="AG400" i="1"/>
  <c r="AE400" i="1"/>
  <c r="AB400" i="1"/>
  <c r="AB435" i="1" s="1"/>
  <c r="Z400" i="1"/>
  <c r="Z435" i="1" s="1"/>
  <c r="X400" i="1"/>
  <c r="X435" i="1" s="1"/>
  <c r="R400" i="1"/>
  <c r="I400" i="1"/>
  <c r="D400" i="1" s="1"/>
  <c r="FL399" i="1"/>
  <c r="EU399" i="1"/>
  <c r="ES399" i="1"/>
  <c r="EO399" i="1"/>
  <c r="EN399" i="1"/>
  <c r="EJ399" i="1"/>
  <c r="EG399" i="1"/>
  <c r="DM399" i="1"/>
  <c r="DG399" i="1"/>
  <c r="DF399" i="1"/>
  <c r="DE399" i="1"/>
  <c r="CZ399" i="1"/>
  <c r="CY399" i="1"/>
  <c r="CB399" i="1"/>
  <c r="CR399" i="1" s="1"/>
  <c r="BX399" i="1"/>
  <c r="BU399" i="1"/>
  <c r="BT399" i="1"/>
  <c r="BQ399" i="1"/>
  <c r="BP399" i="1"/>
  <c r="BM399" i="1"/>
  <c r="BL399" i="1"/>
  <c r="BH399" i="1"/>
  <c r="BE399" i="1"/>
  <c r="BB399" i="1"/>
  <c r="BA399" i="1"/>
  <c r="AZ399" i="1"/>
  <c r="AU399" i="1"/>
  <c r="AS399" i="1"/>
  <c r="AP399" i="1"/>
  <c r="AO399" i="1"/>
  <c r="AN399" i="1"/>
  <c r="AL399" i="1"/>
  <c r="AJ399" i="1"/>
  <c r="AG399" i="1"/>
  <c r="AE399" i="1"/>
  <c r="AB399" i="1"/>
  <c r="Z399" i="1"/>
  <c r="X399" i="1"/>
  <c r="R399" i="1"/>
  <c r="I399" i="1"/>
  <c r="D399" i="1" s="1"/>
  <c r="FK398" i="1"/>
  <c r="FJ398" i="1"/>
  <c r="EU398" i="1"/>
  <c r="ES398" i="1"/>
  <c r="EO398" i="1"/>
  <c r="EQ398" i="1" s="1"/>
  <c r="EN398" i="1"/>
  <c r="EJ398" i="1"/>
  <c r="EG398" i="1"/>
  <c r="DW398" i="1"/>
  <c r="DY398" i="1" s="1"/>
  <c r="DV398" i="1"/>
  <c r="DU398" i="1"/>
  <c r="DM398" i="1"/>
  <c r="DL398" i="1"/>
  <c r="DK398" i="1"/>
  <c r="DJ398" i="1"/>
  <c r="DG398" i="1"/>
  <c r="DF398" i="1"/>
  <c r="DE398" i="1"/>
  <c r="CZ398" i="1"/>
  <c r="DB398" i="1" s="1"/>
  <c r="CY398" i="1"/>
  <c r="CX398" i="1"/>
  <c r="DA398" i="1" s="1"/>
  <c r="CW398" i="1"/>
  <c r="DC398" i="1" s="1"/>
  <c r="CN398" i="1"/>
  <c r="CV398" i="1" s="1"/>
  <c r="CM398" i="1"/>
  <c r="CL398" i="1"/>
  <c r="CK398" i="1"/>
  <c r="CJ398" i="1"/>
  <c r="CI398" i="1"/>
  <c r="CH398" i="1"/>
  <c r="CG398" i="1"/>
  <c r="CF398" i="1"/>
  <c r="BV398" i="1"/>
  <c r="BU398" i="1"/>
  <c r="BT398" i="1"/>
  <c r="BR398" i="1"/>
  <c r="BQ398" i="1"/>
  <c r="BP398" i="1"/>
  <c r="BN398" i="1"/>
  <c r="BM398" i="1"/>
  <c r="BL398" i="1"/>
  <c r="BH398" i="1"/>
  <c r="BE398" i="1"/>
  <c r="AY398" i="1"/>
  <c r="AU398" i="1"/>
  <c r="AS398" i="1"/>
  <c r="AP398" i="1"/>
  <c r="AO398" i="1"/>
  <c r="AN398" i="1"/>
  <c r="AL398" i="1"/>
  <c r="AJ398" i="1"/>
  <c r="AG398" i="1"/>
  <c r="AE398" i="1"/>
  <c r="AB398" i="1"/>
  <c r="Z398" i="1"/>
  <c r="X398" i="1"/>
  <c r="R398" i="1"/>
  <c r="CP398" i="1" s="1"/>
  <c r="N398" i="1"/>
  <c r="BX398" i="1" s="1"/>
  <c r="FK397" i="1"/>
  <c r="FJ397" i="1"/>
  <c r="EO397" i="1"/>
  <c r="EQ397" i="1" s="1"/>
  <c r="EN397" i="1"/>
  <c r="EJ397" i="1"/>
  <c r="EG397" i="1"/>
  <c r="DM397" i="1"/>
  <c r="DG397" i="1"/>
  <c r="DF397" i="1"/>
  <c r="DE397" i="1"/>
  <c r="CZ397" i="1"/>
  <c r="DB397" i="1" s="1"/>
  <c r="CY397" i="1"/>
  <c r="CX397" i="1"/>
  <c r="DA397" i="1" s="1"/>
  <c r="CW397" i="1"/>
  <c r="DC397" i="1" s="1"/>
  <c r="CJ397" i="1"/>
  <c r="CI397" i="1"/>
  <c r="CH397" i="1"/>
  <c r="BU397" i="1"/>
  <c r="BT397" i="1"/>
  <c r="BQ397" i="1"/>
  <c r="BP397" i="1"/>
  <c r="BM397" i="1"/>
  <c r="BL397" i="1"/>
  <c r="BH397" i="1"/>
  <c r="BE397" i="1"/>
  <c r="BB397" i="1"/>
  <c r="BA397" i="1"/>
  <c r="AZ397" i="1"/>
  <c r="DW397" i="1" s="1"/>
  <c r="DY397" i="1" s="1"/>
  <c r="AU397" i="1"/>
  <c r="AS397" i="1"/>
  <c r="AP397" i="1"/>
  <c r="AO397" i="1"/>
  <c r="AN397" i="1"/>
  <c r="AL397" i="1"/>
  <c r="AJ397" i="1"/>
  <c r="AG397" i="1"/>
  <c r="AE397" i="1"/>
  <c r="AB397" i="1"/>
  <c r="Z397" i="1"/>
  <c r="X397" i="1"/>
  <c r="N397" i="1"/>
  <c r="CQ397" i="1" s="1"/>
  <c r="M397" i="1"/>
  <c r="I397" i="1"/>
  <c r="BR397" i="1" s="1"/>
  <c r="CF397" i="1" s="1"/>
  <c r="FK396" i="1"/>
  <c r="FJ396" i="1"/>
  <c r="EU396" i="1"/>
  <c r="ES396" i="1"/>
  <c r="EO396" i="1"/>
  <c r="EQ396" i="1" s="1"/>
  <c r="EN396" i="1"/>
  <c r="EJ396" i="1"/>
  <c r="EG396" i="1"/>
  <c r="DW396" i="1"/>
  <c r="DY396" i="1" s="1"/>
  <c r="DV396" i="1"/>
  <c r="DU396" i="1"/>
  <c r="DM396" i="1"/>
  <c r="DL396" i="1"/>
  <c r="DK396" i="1"/>
  <c r="DJ396" i="1"/>
  <c r="DG396" i="1"/>
  <c r="DF396" i="1"/>
  <c r="DE396" i="1"/>
  <c r="CZ396" i="1"/>
  <c r="DB396" i="1" s="1"/>
  <c r="CY396" i="1"/>
  <c r="CX396" i="1"/>
  <c r="CW396" i="1"/>
  <c r="DC396" i="1" s="1"/>
  <c r="CN396" i="1"/>
  <c r="CV396" i="1" s="1"/>
  <c r="CM396" i="1"/>
  <c r="CL396" i="1"/>
  <c r="CK396" i="1"/>
  <c r="CJ396" i="1"/>
  <c r="CI396" i="1"/>
  <c r="CH396" i="1"/>
  <c r="CG396" i="1"/>
  <c r="CF396" i="1"/>
  <c r="BV396" i="1"/>
  <c r="BU396" i="1"/>
  <c r="BT396" i="1"/>
  <c r="BR396" i="1"/>
  <c r="BQ396" i="1"/>
  <c r="BP396" i="1"/>
  <c r="BN396" i="1"/>
  <c r="BM396" i="1"/>
  <c r="BL396" i="1"/>
  <c r="BH396" i="1"/>
  <c r="BE396" i="1"/>
  <c r="AY396" i="1"/>
  <c r="AU396" i="1"/>
  <c r="AS396" i="1"/>
  <c r="AP396" i="1"/>
  <c r="AO396" i="1"/>
  <c r="AN396" i="1"/>
  <c r="AL396" i="1"/>
  <c r="AJ396" i="1"/>
  <c r="AG396" i="1"/>
  <c r="AE396" i="1"/>
  <c r="AB396" i="1"/>
  <c r="Z396" i="1"/>
  <c r="X396" i="1"/>
  <c r="R396" i="1"/>
  <c r="CP396" i="1" s="1"/>
  <c r="N396" i="1"/>
  <c r="CR396" i="1" s="1"/>
  <c r="FK395" i="1"/>
  <c r="FJ395" i="1"/>
  <c r="EU395" i="1"/>
  <c r="ES395" i="1"/>
  <c r="EO395" i="1"/>
  <c r="EQ395" i="1" s="1"/>
  <c r="EN395" i="1"/>
  <c r="EJ395" i="1"/>
  <c r="EG395" i="1"/>
  <c r="DW395" i="1"/>
  <c r="DY395" i="1" s="1"/>
  <c r="DV395" i="1"/>
  <c r="DU395" i="1"/>
  <c r="DM395" i="1"/>
  <c r="DG395" i="1"/>
  <c r="DF395" i="1"/>
  <c r="DE395" i="1"/>
  <c r="CZ395" i="1"/>
  <c r="DB395" i="1" s="1"/>
  <c r="CY395" i="1"/>
  <c r="CX395" i="1"/>
  <c r="DD395" i="1" s="1"/>
  <c r="CW395" i="1"/>
  <c r="DC395" i="1" s="1"/>
  <c r="CJ395" i="1"/>
  <c r="CI395" i="1"/>
  <c r="CH395" i="1"/>
  <c r="CD395" i="1"/>
  <c r="CP395" i="1" s="1"/>
  <c r="BZ395" i="1"/>
  <c r="CO395" i="1" s="1"/>
  <c r="BV395" i="1"/>
  <c r="BU395" i="1"/>
  <c r="BT395" i="1"/>
  <c r="BR395" i="1"/>
  <c r="CF395" i="1" s="1"/>
  <c r="BQ395" i="1"/>
  <c r="BP395" i="1"/>
  <c r="BN395" i="1"/>
  <c r="CE395" i="1" s="1"/>
  <c r="BM395" i="1"/>
  <c r="BL395" i="1"/>
  <c r="BH395" i="1"/>
  <c r="BE395" i="1"/>
  <c r="BB395" i="1"/>
  <c r="AY395" i="1" s="1"/>
  <c r="EX395" i="1" s="1"/>
  <c r="AU395" i="1"/>
  <c r="AS395" i="1"/>
  <c r="AP395" i="1"/>
  <c r="AO395" i="1"/>
  <c r="AN395" i="1"/>
  <c r="AL395" i="1"/>
  <c r="AJ395" i="1"/>
  <c r="AG395" i="1"/>
  <c r="AE395" i="1"/>
  <c r="AB395" i="1"/>
  <c r="Z395" i="1"/>
  <c r="X395" i="1"/>
  <c r="N395" i="1"/>
  <c r="L395" i="1"/>
  <c r="K395" i="1"/>
  <c r="J395" i="1"/>
  <c r="D395" i="1"/>
  <c r="FK394" i="1"/>
  <c r="FJ394" i="1"/>
  <c r="EU394" i="1"/>
  <c r="ES394" i="1"/>
  <c r="EO394" i="1"/>
  <c r="EQ394" i="1" s="1"/>
  <c r="EN394" i="1"/>
  <c r="EJ394" i="1"/>
  <c r="EG394" i="1"/>
  <c r="DW394" i="1"/>
  <c r="DY394" i="1" s="1"/>
  <c r="DV394" i="1"/>
  <c r="DU394" i="1"/>
  <c r="BE394" i="1"/>
  <c r="BB394" i="1"/>
  <c r="AY394" i="1" s="1"/>
  <c r="EA394" i="1" s="1"/>
  <c r="FK393" i="1"/>
  <c r="FJ393" i="1"/>
  <c r="EY393" i="1"/>
  <c r="EX393" i="1"/>
  <c r="EU393" i="1"/>
  <c r="ES393" i="1"/>
  <c r="EO393" i="1"/>
  <c r="EN393" i="1"/>
  <c r="EG393" i="1"/>
  <c r="FK392" i="1"/>
  <c r="FJ392" i="1"/>
  <c r="EU392" i="1"/>
  <c r="ES392" i="1"/>
  <c r="EO392" i="1"/>
  <c r="EQ392" i="1" s="1"/>
  <c r="EN392" i="1"/>
  <c r="EJ392" i="1"/>
  <c r="EG392" i="1"/>
  <c r="DW392" i="1"/>
  <c r="DY392" i="1" s="1"/>
  <c r="DV392" i="1"/>
  <c r="DU392" i="1"/>
  <c r="DM392" i="1"/>
  <c r="DL392" i="1"/>
  <c r="DK392" i="1"/>
  <c r="DJ392" i="1"/>
  <c r="DG392" i="1"/>
  <c r="DF392" i="1"/>
  <c r="DE392" i="1"/>
  <c r="CZ392" i="1"/>
  <c r="DB392" i="1" s="1"/>
  <c r="CY392" i="1"/>
  <c r="CX392" i="1"/>
  <c r="DD392" i="1" s="1"/>
  <c r="CW392" i="1"/>
  <c r="DC392" i="1" s="1"/>
  <c r="CN392" i="1"/>
  <c r="CV392" i="1" s="1"/>
  <c r="CM392" i="1"/>
  <c r="CL392" i="1"/>
  <c r="CK392" i="1"/>
  <c r="CJ392" i="1"/>
  <c r="CI392" i="1"/>
  <c r="CH392" i="1"/>
  <c r="CG392" i="1"/>
  <c r="CF392" i="1"/>
  <c r="BV392" i="1"/>
  <c r="BU392" i="1"/>
  <c r="BT392" i="1"/>
  <c r="BR392" i="1"/>
  <c r="BQ392" i="1"/>
  <c r="BP392" i="1"/>
  <c r="BN392" i="1"/>
  <c r="BM392" i="1"/>
  <c r="BL392" i="1"/>
  <c r="BH392" i="1"/>
  <c r="BE392" i="1"/>
  <c r="AY392" i="1"/>
  <c r="AU392" i="1"/>
  <c r="AS392" i="1"/>
  <c r="AP392" i="1"/>
  <c r="AO392" i="1"/>
  <c r="AN392" i="1"/>
  <c r="AL392" i="1"/>
  <c r="AJ392" i="1"/>
  <c r="AG392" i="1"/>
  <c r="AE392" i="1"/>
  <c r="AB392" i="1"/>
  <c r="Z392" i="1"/>
  <c r="X392" i="1"/>
  <c r="R392" i="1"/>
  <c r="CP392" i="1" s="1"/>
  <c r="N392" i="1"/>
  <c r="FJ383" i="1"/>
  <c r="EY383" i="1"/>
  <c r="EX383" i="1"/>
  <c r="EU383" i="1"/>
  <c r="ES383" i="1"/>
  <c r="EO383" i="1"/>
  <c r="EN383" i="1"/>
  <c r="EJ383" i="1"/>
  <c r="EG383" i="1"/>
  <c r="FK382" i="1"/>
  <c r="FJ382" i="1"/>
  <c r="EY382" i="1"/>
  <c r="EX382" i="1"/>
  <c r="EU382" i="1"/>
  <c r="ES382" i="1"/>
  <c r="EO382" i="1"/>
  <c r="EQ382" i="1" s="1"/>
  <c r="EN382" i="1"/>
  <c r="EJ382" i="1"/>
  <c r="EG382" i="1"/>
  <c r="GY416" i="1"/>
  <c r="GX416" i="1"/>
  <c r="GJ416" i="1"/>
  <c r="GI416" i="1"/>
  <c r="GF416" i="1"/>
  <c r="GE416" i="1"/>
  <c r="GB416" i="1"/>
  <c r="GA416" i="1"/>
  <c r="FY416" i="1"/>
  <c r="EU416" i="1"/>
  <c r="ES416" i="1"/>
  <c r="EO416" i="1"/>
  <c r="EN416" i="1"/>
  <c r="BB416" i="1"/>
  <c r="BA416" i="1"/>
  <c r="AZ416" i="1"/>
  <c r="EL415" i="1"/>
  <c r="CC375" i="1"/>
  <c r="FR375" i="1"/>
  <c r="FO375" i="1"/>
  <c r="EU375" i="1"/>
  <c r="EJ375" i="1"/>
  <c r="EG375" i="1"/>
  <c r="ED375" i="1"/>
  <c r="EC375" i="1"/>
  <c r="DX375" i="1"/>
  <c r="DU375" i="1"/>
  <c r="DM375" i="1"/>
  <c r="DL375" i="1"/>
  <c r="DK375" i="1"/>
  <c r="DJ375" i="1"/>
  <c r="DG375" i="1"/>
  <c r="DF375" i="1"/>
  <c r="DE375" i="1"/>
  <c r="CU375" i="1"/>
  <c r="CT375" i="1"/>
  <c r="CS375" i="1"/>
  <c r="CR375" i="1"/>
  <c r="CQ375" i="1"/>
  <c r="CP375" i="1"/>
  <c r="CO375" i="1"/>
  <c r="CN375" i="1"/>
  <c r="CV375" i="1" s="1"/>
  <c r="CM375" i="1"/>
  <c r="CL375" i="1"/>
  <c r="CK375" i="1"/>
  <c r="CJ375" i="1"/>
  <c r="CI375" i="1"/>
  <c r="CH375" i="1"/>
  <c r="CG375" i="1"/>
  <c r="CF375" i="1"/>
  <c r="CE375" i="1"/>
  <c r="CD375" i="1"/>
  <c r="BZ375" i="1"/>
  <c r="BY375" i="1"/>
  <c r="BV375" i="1"/>
  <c r="BU375" i="1"/>
  <c r="BT375" i="1"/>
  <c r="BR375" i="1"/>
  <c r="BQ375" i="1"/>
  <c r="BP375" i="1"/>
  <c r="BN375" i="1"/>
  <c r="BM375" i="1"/>
  <c r="BL375" i="1"/>
  <c r="BH375" i="1"/>
  <c r="BE375" i="1"/>
  <c r="AY375" i="1"/>
  <c r="EX375" i="1" s="1"/>
  <c r="AU375" i="1"/>
  <c r="AS375" i="1"/>
  <c r="AP375" i="1"/>
  <c r="AO375" i="1"/>
  <c r="AN375" i="1"/>
  <c r="AL375" i="1"/>
  <c r="AJ375" i="1"/>
  <c r="AG375" i="1"/>
  <c r="AE375" i="1"/>
  <c r="AB375" i="1"/>
  <c r="Z375" i="1"/>
  <c r="X375" i="1"/>
  <c r="FK370" i="1"/>
  <c r="FJ370" i="1"/>
  <c r="EU370" i="1"/>
  <c r="ES370" i="1"/>
  <c r="EO370" i="1"/>
  <c r="EN370" i="1"/>
  <c r="EJ370" i="1"/>
  <c r="EG370" i="1"/>
  <c r="BH370" i="1"/>
  <c r="BE370" i="1"/>
  <c r="BB370" i="1"/>
  <c r="BA370" i="1"/>
  <c r="AZ370" i="1"/>
  <c r="ED370" i="1" s="1"/>
  <c r="AU370" i="1"/>
  <c r="AG370" i="1"/>
  <c r="FK369" i="1"/>
  <c r="FJ369" i="1"/>
  <c r="EU369" i="1"/>
  <c r="ES369" i="1"/>
  <c r="EO369" i="1"/>
  <c r="EN369" i="1"/>
  <c r="EJ369" i="1"/>
  <c r="EG369" i="1"/>
  <c r="BH369" i="1"/>
  <c r="BE369" i="1"/>
  <c r="BB369" i="1"/>
  <c r="BA369" i="1"/>
  <c r="AZ369" i="1"/>
  <c r="ED369" i="1" s="1"/>
  <c r="AU369" i="1"/>
  <c r="AS369" i="1"/>
  <c r="AG369" i="1"/>
  <c r="AE369" i="1"/>
  <c r="FK368" i="1"/>
  <c r="FJ368" i="1"/>
  <c r="EU368" i="1"/>
  <c r="ES368" i="1"/>
  <c r="EO368" i="1"/>
  <c r="EQ368" i="1" s="1"/>
  <c r="EN368" i="1"/>
  <c r="EJ368" i="1"/>
  <c r="EG368" i="1"/>
  <c r="ED368" i="1"/>
  <c r="EC368" i="1"/>
  <c r="DW368" i="1"/>
  <c r="DY368" i="1" s="1"/>
  <c r="DV368" i="1"/>
  <c r="DU368" i="1"/>
  <c r="BH368" i="1"/>
  <c r="BE368" i="1"/>
  <c r="AY368" i="1"/>
  <c r="EX368" i="1" s="1"/>
  <c r="AU368" i="1"/>
  <c r="AG368" i="1"/>
  <c r="FK366" i="1"/>
  <c r="FJ366" i="1"/>
  <c r="EU366" i="1"/>
  <c r="ES366" i="1"/>
  <c r="EO366" i="1"/>
  <c r="EN366" i="1"/>
  <c r="EJ366" i="1"/>
  <c r="EG366" i="1"/>
  <c r="DX366" i="1"/>
  <c r="BI366" i="1"/>
  <c r="BH366" i="1"/>
  <c r="BE366" i="1"/>
  <c r="BB366" i="1"/>
  <c r="BA366" i="1"/>
  <c r="AZ366" i="1"/>
  <c r="EC366" i="1" s="1"/>
  <c r="AU366" i="1"/>
  <c r="AS366" i="1"/>
  <c r="AG366" i="1"/>
  <c r="AE366" i="1"/>
  <c r="HF365" i="1"/>
  <c r="HC365" i="1"/>
  <c r="GT365" i="1"/>
  <c r="GQ365" i="1"/>
  <c r="GJ365" i="1"/>
  <c r="GI365" i="1"/>
  <c r="GB365" i="1"/>
  <c r="GD365" i="1" s="1"/>
  <c r="GA365" i="1"/>
  <c r="FW365" i="1"/>
  <c r="FR365" i="1"/>
  <c r="FO365" i="1"/>
  <c r="FZ365" i="1" s="1"/>
  <c r="FK365" i="1"/>
  <c r="FJ365" i="1"/>
  <c r="EU365" i="1"/>
  <c r="ES365" i="1"/>
  <c r="EO365" i="1"/>
  <c r="EQ365" i="1" s="1"/>
  <c r="EN365" i="1"/>
  <c r="EJ365" i="1"/>
  <c r="EG365" i="1"/>
  <c r="ED365" i="1"/>
  <c r="EC365" i="1"/>
  <c r="DW365" i="1"/>
  <c r="DY365" i="1" s="1"/>
  <c r="DV365" i="1"/>
  <c r="DU365" i="1"/>
  <c r="BH365" i="1"/>
  <c r="BE365" i="1"/>
  <c r="AY365" i="1"/>
  <c r="EX365" i="1" s="1"/>
  <c r="AU365" i="1"/>
  <c r="AG365" i="1"/>
  <c r="FR364" i="1"/>
  <c r="FO364" i="1"/>
  <c r="EU364" i="1"/>
  <c r="EJ364" i="1"/>
  <c r="EG364" i="1"/>
  <c r="DX364" i="1"/>
  <c r="DU364" i="1"/>
  <c r="DM364" i="1"/>
  <c r="DL364" i="1"/>
  <c r="DK364" i="1"/>
  <c r="DJ364" i="1"/>
  <c r="DG364" i="1"/>
  <c r="DF364" i="1"/>
  <c r="DE364" i="1"/>
  <c r="CU364" i="1"/>
  <c r="CT364" i="1"/>
  <c r="CS364" i="1"/>
  <c r="CR364" i="1"/>
  <c r="CQ364" i="1"/>
  <c r="CP364" i="1"/>
  <c r="CO364" i="1"/>
  <c r="CN364" i="1"/>
  <c r="CV364" i="1" s="1"/>
  <c r="CM364" i="1"/>
  <c r="CL364" i="1"/>
  <c r="CK364" i="1"/>
  <c r="CJ364" i="1"/>
  <c r="CI364" i="1"/>
  <c r="CH364" i="1"/>
  <c r="CG364" i="1"/>
  <c r="CF364" i="1"/>
  <c r="CE364" i="1"/>
  <c r="CD364" i="1"/>
  <c r="BZ364" i="1"/>
  <c r="BV364" i="1"/>
  <c r="BU364" i="1"/>
  <c r="BT364" i="1"/>
  <c r="BR364" i="1"/>
  <c r="BQ364" i="1"/>
  <c r="BP364" i="1"/>
  <c r="BN364" i="1"/>
  <c r="BM364" i="1"/>
  <c r="BL364" i="1"/>
  <c r="BH364" i="1"/>
  <c r="BE364" i="1"/>
  <c r="AY364" i="1"/>
  <c r="EY364" i="1" s="1"/>
  <c r="AU364" i="1"/>
  <c r="AS364" i="1"/>
  <c r="AP364" i="1"/>
  <c r="AO364" i="1"/>
  <c r="AN364" i="1"/>
  <c r="AL364" i="1"/>
  <c r="AJ364" i="1"/>
  <c r="AG364" i="1"/>
  <c r="AE364" i="1"/>
  <c r="AB364" i="1"/>
  <c r="Z364" i="1"/>
  <c r="X364" i="1"/>
  <c r="FL359" i="1"/>
  <c r="EU359" i="1"/>
  <c r="ES359" i="1"/>
  <c r="EO359" i="1"/>
  <c r="EN359" i="1"/>
  <c r="EJ359" i="1"/>
  <c r="EG359" i="1"/>
  <c r="DM359" i="1"/>
  <c r="DG359" i="1"/>
  <c r="DF359" i="1"/>
  <c r="DE359" i="1"/>
  <c r="CZ359" i="1"/>
  <c r="CY359" i="1"/>
  <c r="BI359" i="1"/>
  <c r="BH359" i="1"/>
  <c r="BE359" i="1"/>
  <c r="BB359" i="1"/>
  <c r="BA359" i="1"/>
  <c r="AZ359" i="1"/>
  <c r="DW359" i="1" s="1"/>
  <c r="AU359" i="1"/>
  <c r="AS359" i="1"/>
  <c r="AP359" i="1"/>
  <c r="AO359" i="1"/>
  <c r="AN359" i="1"/>
  <c r="AL359" i="1"/>
  <c r="AJ359" i="1"/>
  <c r="AG359" i="1"/>
  <c r="AE359" i="1"/>
  <c r="AB359" i="1"/>
  <c r="Z359" i="1"/>
  <c r="X359" i="1"/>
  <c r="M359" i="1"/>
  <c r="I359" i="1"/>
  <c r="E359" i="1"/>
  <c r="D359" i="1"/>
  <c r="FK358" i="1"/>
  <c r="FJ358" i="1"/>
  <c r="EU358" i="1"/>
  <c r="ES358" i="1"/>
  <c r="EO358" i="1"/>
  <c r="EQ358" i="1" s="1"/>
  <c r="EN358" i="1"/>
  <c r="EJ358" i="1"/>
  <c r="EG358" i="1"/>
  <c r="ED358" i="1"/>
  <c r="EC358" i="1"/>
  <c r="DW358" i="1"/>
  <c r="DY358" i="1" s="1"/>
  <c r="DV358" i="1"/>
  <c r="DU358" i="1"/>
  <c r="DM358" i="1"/>
  <c r="DL358" i="1"/>
  <c r="DK358" i="1"/>
  <c r="DJ358" i="1"/>
  <c r="DG358" i="1"/>
  <c r="DF358" i="1"/>
  <c r="DE358" i="1"/>
  <c r="CZ358" i="1"/>
  <c r="DB358" i="1" s="1"/>
  <c r="CY358" i="1"/>
  <c r="CX358" i="1"/>
  <c r="DD358" i="1" s="1"/>
  <c r="CW358" i="1"/>
  <c r="DC358" i="1" s="1"/>
  <c r="CN358" i="1"/>
  <c r="CV358" i="1" s="1"/>
  <c r="CM358" i="1"/>
  <c r="CL358" i="1"/>
  <c r="CK358" i="1"/>
  <c r="CJ358" i="1"/>
  <c r="CI358" i="1"/>
  <c r="CH358" i="1"/>
  <c r="CG358" i="1"/>
  <c r="CF358" i="1"/>
  <c r="BV358" i="1"/>
  <c r="BU358" i="1"/>
  <c r="BT358" i="1"/>
  <c r="BR358" i="1"/>
  <c r="BQ358" i="1"/>
  <c r="BP358" i="1"/>
  <c r="BN358" i="1"/>
  <c r="BM358" i="1"/>
  <c r="BL358" i="1"/>
  <c r="BH358" i="1"/>
  <c r="BE358" i="1"/>
  <c r="AY358" i="1"/>
  <c r="EX358" i="1" s="1"/>
  <c r="AU358" i="1"/>
  <c r="AS358" i="1"/>
  <c r="AP358" i="1"/>
  <c r="AO358" i="1"/>
  <c r="AN358" i="1"/>
  <c r="AL358" i="1"/>
  <c r="AJ358" i="1"/>
  <c r="AG358" i="1"/>
  <c r="AE358" i="1"/>
  <c r="AB358" i="1"/>
  <c r="Z358" i="1"/>
  <c r="X358" i="1"/>
  <c r="R358" i="1"/>
  <c r="CP358" i="1" s="1"/>
  <c r="N358" i="1"/>
  <c r="CR358" i="1" s="1"/>
  <c r="FK357" i="1"/>
  <c r="FJ357" i="1"/>
  <c r="EU357" i="1"/>
  <c r="ES357" i="1"/>
  <c r="EO357" i="1"/>
  <c r="EQ357" i="1" s="1"/>
  <c r="EN357" i="1"/>
  <c r="EJ357" i="1"/>
  <c r="EG357" i="1"/>
  <c r="ED357" i="1"/>
  <c r="EC357" i="1"/>
  <c r="DW357" i="1"/>
  <c r="DY357" i="1" s="1"/>
  <c r="DV357" i="1"/>
  <c r="DU357" i="1"/>
  <c r="DT357" i="1"/>
  <c r="DS357" i="1"/>
  <c r="BH357" i="1"/>
  <c r="BE357" i="1"/>
  <c r="BB357" i="1"/>
  <c r="BA357" i="1"/>
  <c r="AU357" i="1"/>
  <c r="AS357" i="1"/>
  <c r="AG357" i="1"/>
  <c r="AE357" i="1"/>
  <c r="FK356" i="1"/>
  <c r="FJ356" i="1"/>
  <c r="EY356" i="1"/>
  <c r="EX356" i="1"/>
  <c r="EU356" i="1"/>
  <c r="ES356" i="1"/>
  <c r="EO356" i="1"/>
  <c r="EN356" i="1"/>
  <c r="EJ356" i="1"/>
  <c r="EG356" i="1"/>
  <c r="FK355" i="1"/>
  <c r="FJ355" i="1"/>
  <c r="EU355" i="1"/>
  <c r="ES355" i="1"/>
  <c r="EO355" i="1"/>
  <c r="EN355" i="1"/>
  <c r="EJ355" i="1"/>
  <c r="EG355" i="1"/>
  <c r="DT355" i="1"/>
  <c r="DS355" i="1"/>
  <c r="BH355" i="1"/>
  <c r="BE355" i="1"/>
  <c r="BB355" i="1"/>
  <c r="BA355" i="1"/>
  <c r="AZ355" i="1"/>
  <c r="EC355" i="1" s="1"/>
  <c r="AU355" i="1"/>
  <c r="AS355" i="1"/>
  <c r="AG355" i="1"/>
  <c r="AE355" i="1"/>
  <c r="FK354" i="1"/>
  <c r="FJ354" i="1"/>
  <c r="EU354" i="1"/>
  <c r="ES354" i="1"/>
  <c r="EO354" i="1"/>
  <c r="EN354" i="1"/>
  <c r="EJ354" i="1"/>
  <c r="EG354" i="1"/>
  <c r="DT354" i="1"/>
  <c r="DS354" i="1"/>
  <c r="BH354" i="1"/>
  <c r="BE354" i="1"/>
  <c r="BB354" i="1"/>
  <c r="BA354" i="1"/>
  <c r="AZ354" i="1"/>
  <c r="EC354" i="1" s="1"/>
  <c r="AU354" i="1"/>
  <c r="AS354" i="1"/>
  <c r="AG354" i="1"/>
  <c r="AE354" i="1"/>
  <c r="FK353" i="1"/>
  <c r="FJ353" i="1"/>
  <c r="EU353" i="1"/>
  <c r="ES353" i="1"/>
  <c r="EO353" i="1"/>
  <c r="EQ353" i="1" s="1"/>
  <c r="EN353" i="1"/>
  <c r="EJ353" i="1"/>
  <c r="EG353" i="1"/>
  <c r="ED353" i="1"/>
  <c r="EC353" i="1"/>
  <c r="DW353" i="1"/>
  <c r="DY353" i="1" s="1"/>
  <c r="DV353" i="1"/>
  <c r="DU353" i="1"/>
  <c r="DS353" i="1"/>
  <c r="BH353" i="1"/>
  <c r="BE353" i="1"/>
  <c r="AY353" i="1"/>
  <c r="AU353" i="1"/>
  <c r="AG353" i="1"/>
  <c r="FK352" i="1"/>
  <c r="FJ352" i="1"/>
  <c r="EU352" i="1"/>
  <c r="ES352" i="1"/>
  <c r="EO352" i="1"/>
  <c r="EN352" i="1"/>
  <c r="EJ352" i="1"/>
  <c r="EG352" i="1"/>
  <c r="ED352" i="1"/>
  <c r="EC352" i="1"/>
  <c r="DW352" i="1"/>
  <c r="DV352" i="1"/>
  <c r="DU352" i="1"/>
  <c r="BH352" i="1"/>
  <c r="BE352" i="1"/>
  <c r="AY352" i="1"/>
  <c r="AU352" i="1"/>
  <c r="AG352" i="1"/>
  <c r="FK351" i="1"/>
  <c r="FJ351" i="1"/>
  <c r="EU351" i="1"/>
  <c r="ES351" i="1"/>
  <c r="EO351" i="1"/>
  <c r="EQ351" i="1" s="1"/>
  <c r="EN351" i="1"/>
  <c r="EJ351" i="1"/>
  <c r="EG351" i="1"/>
  <c r="ED351" i="1"/>
  <c r="EC351" i="1"/>
  <c r="DW351" i="1"/>
  <c r="DY351" i="1" s="1"/>
  <c r="DV351" i="1"/>
  <c r="DU351" i="1"/>
  <c r="BI351" i="1"/>
  <c r="BH351" i="1"/>
  <c r="BE351" i="1"/>
  <c r="AY351" i="1"/>
  <c r="AU351" i="1"/>
  <c r="AG351" i="1"/>
  <c r="FK350" i="1"/>
  <c r="FJ350" i="1"/>
  <c r="EU350" i="1"/>
  <c r="ES350" i="1"/>
  <c r="EO350" i="1"/>
  <c r="EN350" i="1"/>
  <c r="EJ350" i="1"/>
  <c r="EG350" i="1"/>
  <c r="DX350" i="1"/>
  <c r="BI350" i="1"/>
  <c r="BH350" i="1"/>
  <c r="BE350" i="1"/>
  <c r="BB350" i="1"/>
  <c r="BA350" i="1"/>
  <c r="AZ350" i="1"/>
  <c r="EC350" i="1" s="1"/>
  <c r="AU350" i="1"/>
  <c r="AG350" i="1"/>
  <c r="GJ349" i="1"/>
  <c r="GI349" i="1"/>
  <c r="GB349" i="1"/>
  <c r="GD349" i="1" s="1"/>
  <c r="GA349" i="1"/>
  <c r="FW349" i="1"/>
  <c r="FR349" i="1"/>
  <c r="GF349" i="1" s="1"/>
  <c r="FO349" i="1"/>
  <c r="FZ349" i="1" s="1"/>
  <c r="FK349" i="1"/>
  <c r="FJ349" i="1"/>
  <c r="EU349" i="1"/>
  <c r="ES349" i="1"/>
  <c r="EO349" i="1"/>
  <c r="EQ349" i="1" s="1"/>
  <c r="EN349" i="1"/>
  <c r="EJ349" i="1"/>
  <c r="EG349" i="1"/>
  <c r="ED349" i="1"/>
  <c r="EC349" i="1"/>
  <c r="DW349" i="1"/>
  <c r="DY349" i="1" s="1"/>
  <c r="DV349" i="1"/>
  <c r="DU349" i="1"/>
  <c r="BH349" i="1"/>
  <c r="BE349" i="1"/>
  <c r="AY349" i="1"/>
  <c r="EY349" i="1" s="1"/>
  <c r="AU349" i="1"/>
  <c r="AG349" i="1"/>
  <c r="FR348" i="1"/>
  <c r="FO348" i="1"/>
  <c r="EU348" i="1"/>
  <c r="EJ348" i="1"/>
  <c r="EG348" i="1"/>
  <c r="DX348" i="1"/>
  <c r="DU348" i="1"/>
  <c r="DM348" i="1"/>
  <c r="DL348" i="1"/>
  <c r="DK348" i="1"/>
  <c r="DJ348" i="1"/>
  <c r="DG348" i="1"/>
  <c r="DF348" i="1"/>
  <c r="DE348" i="1"/>
  <c r="CU348" i="1"/>
  <c r="CT348" i="1"/>
  <c r="CS348" i="1"/>
  <c r="CR348" i="1"/>
  <c r="CQ348" i="1"/>
  <c r="CP348" i="1"/>
  <c r="CO348" i="1"/>
  <c r="CN348" i="1"/>
  <c r="CV348" i="1" s="1"/>
  <c r="CM348" i="1"/>
  <c r="CL348" i="1"/>
  <c r="CK348" i="1"/>
  <c r="CJ348" i="1"/>
  <c r="CI348" i="1"/>
  <c r="CH348" i="1"/>
  <c r="CG348" i="1"/>
  <c r="CF348" i="1"/>
  <c r="CE348" i="1"/>
  <c r="CD348" i="1"/>
  <c r="BZ348" i="1"/>
  <c r="BV348" i="1"/>
  <c r="BU348" i="1"/>
  <c r="BT348" i="1"/>
  <c r="BR348" i="1"/>
  <c r="BQ348" i="1"/>
  <c r="BP348" i="1"/>
  <c r="BN348" i="1"/>
  <c r="BM348" i="1"/>
  <c r="BL348" i="1"/>
  <c r="BH348" i="1"/>
  <c r="BE348" i="1"/>
  <c r="AY348" i="1"/>
  <c r="EY348" i="1" s="1"/>
  <c r="AU348" i="1"/>
  <c r="AS348" i="1"/>
  <c r="AP348" i="1"/>
  <c r="AO348" i="1"/>
  <c r="AN348" i="1"/>
  <c r="AL348" i="1"/>
  <c r="AJ348" i="1"/>
  <c r="AG348" i="1"/>
  <c r="AE348" i="1"/>
  <c r="AB348" i="1"/>
  <c r="Z348" i="1"/>
  <c r="X348" i="1"/>
  <c r="FK345" i="1"/>
  <c r="FJ345" i="1"/>
  <c r="EU345" i="1"/>
  <c r="ES345" i="1"/>
  <c r="EO345" i="1"/>
  <c r="EQ345" i="1" s="1"/>
  <c r="EN345" i="1"/>
  <c r="EJ345" i="1"/>
  <c r="EG345" i="1"/>
  <c r="ED345" i="1"/>
  <c r="EC345" i="1"/>
  <c r="DW345" i="1"/>
  <c r="DY345" i="1" s="1"/>
  <c r="DV345" i="1"/>
  <c r="DU345" i="1"/>
  <c r="DS345" i="1"/>
  <c r="BH345" i="1"/>
  <c r="BE345" i="1"/>
  <c r="BB345" i="1"/>
  <c r="AY345" i="1" s="1"/>
  <c r="EY345" i="1" s="1"/>
  <c r="AU345" i="1"/>
  <c r="AG345" i="1"/>
  <c r="FK344" i="1"/>
  <c r="FJ344" i="1"/>
  <c r="EU344" i="1"/>
  <c r="ES344" i="1"/>
  <c r="EO344" i="1"/>
  <c r="EQ344" i="1" s="1"/>
  <c r="EN344" i="1"/>
  <c r="EJ344" i="1"/>
  <c r="EG344" i="1"/>
  <c r="ED344" i="1"/>
  <c r="EC344" i="1"/>
  <c r="DX344" i="1"/>
  <c r="DW344" i="1"/>
  <c r="DY344" i="1" s="1"/>
  <c r="DV344" i="1"/>
  <c r="DU344" i="1"/>
  <c r="DS344" i="1"/>
  <c r="BH344" i="1"/>
  <c r="BE344" i="1"/>
  <c r="BB344" i="1"/>
  <c r="AY344" i="1" s="1"/>
  <c r="AU344" i="1"/>
  <c r="AS344" i="1"/>
  <c r="AG344" i="1"/>
  <c r="AE344" i="1"/>
  <c r="FK343" i="1"/>
  <c r="FJ343" i="1"/>
  <c r="EU343" i="1"/>
  <c r="ES343" i="1"/>
  <c r="EO343" i="1"/>
  <c r="EN343" i="1"/>
  <c r="EJ343" i="1"/>
  <c r="EG343" i="1"/>
  <c r="DX343" i="1"/>
  <c r="DS343" i="1"/>
  <c r="BH343" i="1"/>
  <c r="BE343" i="1"/>
  <c r="BA343" i="1"/>
  <c r="AZ343" i="1"/>
  <c r="EC343" i="1" s="1"/>
  <c r="AU343" i="1"/>
  <c r="AS343" i="1"/>
  <c r="AG343" i="1"/>
  <c r="AE343" i="1"/>
  <c r="FK342" i="1"/>
  <c r="FJ342" i="1"/>
  <c r="EU342" i="1"/>
  <c r="ES342" i="1"/>
  <c r="EO342" i="1"/>
  <c r="EN342" i="1"/>
  <c r="EJ342" i="1"/>
  <c r="EG342" i="1"/>
  <c r="DX342" i="1"/>
  <c r="DS342" i="1"/>
  <c r="BH342" i="1"/>
  <c r="BE342" i="1"/>
  <c r="BB342" i="1"/>
  <c r="BA342" i="1"/>
  <c r="AZ342" i="1"/>
  <c r="ED342" i="1" s="1"/>
  <c r="AU342" i="1"/>
  <c r="AS342" i="1"/>
  <c r="AG342" i="1"/>
  <c r="AE342" i="1"/>
  <c r="FK341" i="1"/>
  <c r="FJ341" i="1"/>
  <c r="EU341" i="1"/>
  <c r="ES341" i="1"/>
  <c r="EO341" i="1"/>
  <c r="EN341" i="1"/>
  <c r="EJ341" i="1"/>
  <c r="EG341" i="1"/>
  <c r="DX341" i="1"/>
  <c r="DS341" i="1"/>
  <c r="BH341" i="1"/>
  <c r="BE341" i="1"/>
  <c r="BB341" i="1"/>
  <c r="BA341" i="1"/>
  <c r="AZ341" i="1"/>
  <c r="ED341" i="1" s="1"/>
  <c r="AU341" i="1"/>
  <c r="AS341" i="1"/>
  <c r="AG341" i="1"/>
  <c r="AE341" i="1"/>
  <c r="FK340" i="1"/>
  <c r="FJ340" i="1"/>
  <c r="EU340" i="1"/>
  <c r="ES340" i="1"/>
  <c r="EO340" i="1"/>
  <c r="EQ340" i="1" s="1"/>
  <c r="EN340" i="1"/>
  <c r="EJ340" i="1"/>
  <c r="EG340" i="1"/>
  <c r="ED340" i="1"/>
  <c r="EC340" i="1"/>
  <c r="DW340" i="1"/>
  <c r="DY340" i="1" s="1"/>
  <c r="DV340" i="1"/>
  <c r="DU340" i="1"/>
  <c r="BH340" i="1"/>
  <c r="BE340" i="1"/>
  <c r="AY340" i="1"/>
  <c r="EX340" i="1" s="1"/>
  <c r="AU340" i="1"/>
  <c r="AG340" i="1"/>
  <c r="FN338" i="1"/>
  <c r="FN419" i="1" s="1"/>
  <c r="FK338" i="1"/>
  <c r="FJ338" i="1"/>
  <c r="EU338" i="1"/>
  <c r="ES338" i="1"/>
  <c r="EO338" i="1"/>
  <c r="EN338" i="1"/>
  <c r="EJ338" i="1"/>
  <c r="EG338" i="1"/>
  <c r="ED338" i="1"/>
  <c r="EC338" i="1"/>
  <c r="DX338" i="1"/>
  <c r="DW338" i="1"/>
  <c r="DV338" i="1"/>
  <c r="DU338" i="1"/>
  <c r="BH338" i="1"/>
  <c r="BE338" i="1"/>
  <c r="AY338" i="1"/>
  <c r="EY338" i="1" s="1"/>
  <c r="AU338" i="1"/>
  <c r="AS338" i="1"/>
  <c r="AG338" i="1"/>
  <c r="AE338" i="1"/>
  <c r="FK336" i="1"/>
  <c r="FJ336" i="1"/>
  <c r="EU336" i="1"/>
  <c r="ES336" i="1"/>
  <c r="EO336" i="1"/>
  <c r="EN336" i="1"/>
  <c r="EJ336" i="1"/>
  <c r="EG336" i="1"/>
  <c r="DX336" i="1"/>
  <c r="BI336" i="1"/>
  <c r="BH336" i="1"/>
  <c r="BE336" i="1"/>
  <c r="BB336" i="1"/>
  <c r="BA336" i="1"/>
  <c r="AZ336" i="1"/>
  <c r="ED336" i="1" s="1"/>
  <c r="AU336" i="1"/>
  <c r="AS336" i="1"/>
  <c r="AG336" i="1"/>
  <c r="AE336" i="1"/>
  <c r="FK335" i="1"/>
  <c r="FJ335" i="1"/>
  <c r="EU335" i="1"/>
  <c r="ES335" i="1"/>
  <c r="EO335" i="1"/>
  <c r="EQ335" i="1" s="1"/>
  <c r="EN335" i="1"/>
  <c r="EJ335" i="1"/>
  <c r="EG335" i="1"/>
  <c r="ED335" i="1"/>
  <c r="EC335" i="1"/>
  <c r="DW335" i="1"/>
  <c r="DY335" i="1" s="1"/>
  <c r="DV335" i="1"/>
  <c r="DU335" i="1"/>
  <c r="BH335" i="1"/>
  <c r="BE335" i="1"/>
  <c r="AY335" i="1"/>
  <c r="EX335" i="1" s="1"/>
  <c r="AU335" i="1"/>
  <c r="AG335" i="1"/>
  <c r="FR334" i="1"/>
  <c r="FO334" i="1"/>
  <c r="EU334" i="1"/>
  <c r="EJ334" i="1"/>
  <c r="EG334" i="1"/>
  <c r="DX334" i="1"/>
  <c r="DU334" i="1"/>
  <c r="DM334" i="1"/>
  <c r="DL334" i="1"/>
  <c r="DK334" i="1"/>
  <c r="DJ334" i="1"/>
  <c r="DG334" i="1"/>
  <c r="DF334" i="1"/>
  <c r="DE334" i="1"/>
  <c r="CU334" i="1"/>
  <c r="CT334" i="1"/>
  <c r="CS334" i="1"/>
  <c r="CR334" i="1"/>
  <c r="CQ334" i="1"/>
  <c r="CP334" i="1"/>
  <c r="CO334" i="1"/>
  <c r="CN334" i="1"/>
  <c r="CV334" i="1" s="1"/>
  <c r="CM334" i="1"/>
  <c r="CL334" i="1"/>
  <c r="CK334" i="1"/>
  <c r="CJ334" i="1"/>
  <c r="CI334" i="1"/>
  <c r="CH334" i="1"/>
  <c r="CG334" i="1"/>
  <c r="CF334" i="1"/>
  <c r="CE334" i="1"/>
  <c r="CD334" i="1"/>
  <c r="BZ334" i="1"/>
  <c r="BV334" i="1"/>
  <c r="BU334" i="1"/>
  <c r="BT334" i="1"/>
  <c r="BR334" i="1"/>
  <c r="BQ334" i="1"/>
  <c r="BP334" i="1"/>
  <c r="BN334" i="1"/>
  <c r="BM334" i="1"/>
  <c r="BL334" i="1"/>
  <c r="BH334" i="1"/>
  <c r="BE334" i="1"/>
  <c r="AY334" i="1"/>
  <c r="EX334" i="1" s="1"/>
  <c r="AU334" i="1"/>
  <c r="AS334" i="1"/>
  <c r="AP334" i="1"/>
  <c r="AO334" i="1"/>
  <c r="AN334" i="1"/>
  <c r="AL334" i="1"/>
  <c r="AJ334" i="1"/>
  <c r="AG334" i="1"/>
  <c r="AE334" i="1"/>
  <c r="AB334" i="1"/>
  <c r="Z334" i="1"/>
  <c r="X334" i="1"/>
  <c r="FL326" i="1"/>
  <c r="EU326" i="1"/>
  <c r="ES326" i="1"/>
  <c r="EO326" i="1"/>
  <c r="EN326" i="1"/>
  <c r="EJ326" i="1"/>
  <c r="EG326" i="1"/>
  <c r="DX326" i="1"/>
  <c r="DM326" i="1"/>
  <c r="DG326" i="1"/>
  <c r="DF326" i="1"/>
  <c r="DE326" i="1"/>
  <c r="CZ326" i="1"/>
  <c r="CY326" i="1"/>
  <c r="BU326" i="1"/>
  <c r="BT326" i="1"/>
  <c r="CJ326" i="1" s="1"/>
  <c r="BQ326" i="1"/>
  <c r="BP326" i="1"/>
  <c r="CI326" i="1" s="1"/>
  <c r="BM326" i="1"/>
  <c r="BL326" i="1"/>
  <c r="CH326" i="1" s="1"/>
  <c r="BH326" i="1"/>
  <c r="BE326" i="1"/>
  <c r="BB326" i="1"/>
  <c r="BA326" i="1"/>
  <c r="AZ326" i="1"/>
  <c r="DW326" i="1" s="1"/>
  <c r="AU326" i="1"/>
  <c r="AS326" i="1"/>
  <c r="AG326" i="1"/>
  <c r="AE326" i="1"/>
  <c r="N326" i="1"/>
  <c r="I326" i="1"/>
  <c r="D326" i="1" s="1"/>
  <c r="FL325" i="1"/>
  <c r="EU325" i="1"/>
  <c r="ES325" i="1"/>
  <c r="EO325" i="1"/>
  <c r="EN325" i="1"/>
  <c r="EJ325" i="1"/>
  <c r="EG325" i="1"/>
  <c r="DX325" i="1"/>
  <c r="DM325" i="1"/>
  <c r="DG325" i="1"/>
  <c r="DF325" i="1"/>
  <c r="DE325" i="1"/>
  <c r="CZ325" i="1"/>
  <c r="CY325" i="1"/>
  <c r="BI325" i="1"/>
  <c r="BH325" i="1"/>
  <c r="BE325" i="1"/>
  <c r="BB325" i="1"/>
  <c r="BA325" i="1"/>
  <c r="AZ325" i="1"/>
  <c r="ED325" i="1" s="1"/>
  <c r="AU325" i="1"/>
  <c r="AS325" i="1"/>
  <c r="AP325" i="1"/>
  <c r="AO325" i="1"/>
  <c r="AN325" i="1"/>
  <c r="AL325" i="1"/>
  <c r="AJ325" i="1"/>
  <c r="AG325" i="1"/>
  <c r="AE325" i="1"/>
  <c r="AB325" i="1"/>
  <c r="Z325" i="1"/>
  <c r="X325" i="1"/>
  <c r="R325" i="1"/>
  <c r="N325" i="1"/>
  <c r="I325" i="1"/>
  <c r="J325" i="1" s="1"/>
  <c r="E325" i="1"/>
  <c r="D325" i="1"/>
  <c r="FK324" i="1"/>
  <c r="FJ324" i="1"/>
  <c r="EU324" i="1"/>
  <c r="ES324" i="1"/>
  <c r="EO324" i="1"/>
  <c r="EQ324" i="1" s="1"/>
  <c r="EN324" i="1"/>
  <c r="EJ324" i="1"/>
  <c r="EG324" i="1"/>
  <c r="ED324" i="1"/>
  <c r="EC324" i="1"/>
  <c r="DW324" i="1"/>
  <c r="DY324" i="1" s="1"/>
  <c r="DV324" i="1"/>
  <c r="DU324" i="1"/>
  <c r="DM324" i="1"/>
  <c r="DL324" i="1"/>
  <c r="DK324" i="1"/>
  <c r="DJ324" i="1"/>
  <c r="DG324" i="1"/>
  <c r="DF324" i="1"/>
  <c r="DE324" i="1"/>
  <c r="CZ324" i="1"/>
  <c r="DB324" i="1" s="1"/>
  <c r="CY324" i="1"/>
  <c r="CX324" i="1"/>
  <c r="DA324" i="1" s="1"/>
  <c r="CW324" i="1"/>
  <c r="DC324" i="1" s="1"/>
  <c r="CN324" i="1"/>
  <c r="CV324" i="1" s="1"/>
  <c r="CM324" i="1"/>
  <c r="CL324" i="1"/>
  <c r="CK324" i="1"/>
  <c r="CJ324" i="1"/>
  <c r="CI324" i="1"/>
  <c r="CH324" i="1"/>
  <c r="CG324" i="1"/>
  <c r="CF324" i="1"/>
  <c r="BV324" i="1"/>
  <c r="BU324" i="1"/>
  <c r="BT324" i="1"/>
  <c r="BR324" i="1"/>
  <c r="BQ324" i="1"/>
  <c r="BP324" i="1"/>
  <c r="BN324" i="1"/>
  <c r="BM324" i="1"/>
  <c r="BL324" i="1"/>
  <c r="BH324" i="1"/>
  <c r="BE324" i="1"/>
  <c r="AY324" i="1"/>
  <c r="EY324" i="1" s="1"/>
  <c r="AU324" i="1"/>
  <c r="AS324" i="1"/>
  <c r="AP324" i="1"/>
  <c r="AO324" i="1"/>
  <c r="AN324" i="1"/>
  <c r="AL324" i="1"/>
  <c r="AJ324" i="1"/>
  <c r="AG324" i="1"/>
  <c r="AE324" i="1"/>
  <c r="AB324" i="1"/>
  <c r="Z324" i="1"/>
  <c r="X324" i="1"/>
  <c r="R324" i="1"/>
  <c r="CO324" i="1" s="1"/>
  <c r="N324" i="1"/>
  <c r="CQ324" i="1" s="1"/>
  <c r="FL323" i="1"/>
  <c r="EU323" i="1"/>
  <c r="ES323" i="1"/>
  <c r="EO323" i="1"/>
  <c r="EN323" i="1"/>
  <c r="EJ323" i="1"/>
  <c r="EG323" i="1"/>
  <c r="DM323" i="1"/>
  <c r="DG323" i="1"/>
  <c r="DF323" i="1"/>
  <c r="DE323" i="1"/>
  <c r="CZ323" i="1"/>
  <c r="CY323" i="1"/>
  <c r="BH323" i="1"/>
  <c r="BE323" i="1"/>
  <c r="BB323" i="1"/>
  <c r="AZ323" i="1"/>
  <c r="DV323" i="1" s="1"/>
  <c r="AU323" i="1"/>
  <c r="AS323" i="1"/>
  <c r="AP323" i="1"/>
  <c r="AO323" i="1"/>
  <c r="AN323" i="1"/>
  <c r="AL323" i="1"/>
  <c r="AJ323" i="1"/>
  <c r="AG323" i="1"/>
  <c r="AE323" i="1"/>
  <c r="AB323" i="1"/>
  <c r="Z323" i="1"/>
  <c r="X323" i="1"/>
  <c r="I323" i="1"/>
  <c r="E323" i="1"/>
  <c r="D323" i="1"/>
  <c r="EJ322" i="1"/>
  <c r="EG322" i="1"/>
  <c r="DX322" i="1"/>
  <c r="DM322" i="1"/>
  <c r="DG322" i="1"/>
  <c r="DF322" i="1"/>
  <c r="DE322" i="1"/>
  <c r="CZ322" i="1"/>
  <c r="CY322" i="1"/>
  <c r="BI322" i="1"/>
  <c r="BH322" i="1"/>
  <c r="BE322" i="1"/>
  <c r="BB322" i="1"/>
  <c r="BA322" i="1"/>
  <c r="AZ322" i="1"/>
  <c r="EC322" i="1" s="1"/>
  <c r="AU322" i="1"/>
  <c r="AS322" i="1"/>
  <c r="AP322" i="1"/>
  <c r="AO322" i="1"/>
  <c r="AN322" i="1"/>
  <c r="AL322" i="1"/>
  <c r="AJ322" i="1"/>
  <c r="AG322" i="1"/>
  <c r="AE322" i="1"/>
  <c r="AB322" i="1"/>
  <c r="Z322" i="1"/>
  <c r="X322" i="1"/>
  <c r="R322" i="1"/>
  <c r="N322" i="1"/>
  <c r="I322" i="1"/>
  <c r="E322" i="1"/>
  <c r="D322" i="1"/>
  <c r="FK321" i="1"/>
  <c r="FJ321" i="1"/>
  <c r="EU321" i="1"/>
  <c r="ES321" i="1"/>
  <c r="EO321" i="1"/>
  <c r="EQ321" i="1" s="1"/>
  <c r="EN321" i="1"/>
  <c r="EJ321" i="1"/>
  <c r="EG321" i="1"/>
  <c r="ED321" i="1"/>
  <c r="EC321" i="1"/>
  <c r="DW321" i="1"/>
  <c r="DY321" i="1" s="1"/>
  <c r="DV321" i="1"/>
  <c r="DU321" i="1"/>
  <c r="DM321" i="1"/>
  <c r="DL321" i="1"/>
  <c r="DK321" i="1"/>
  <c r="DJ321" i="1"/>
  <c r="DG321" i="1"/>
  <c r="DF321" i="1"/>
  <c r="DE321" i="1"/>
  <c r="CZ321" i="1"/>
  <c r="DB321" i="1" s="1"/>
  <c r="CY321" i="1"/>
  <c r="CX321" i="1"/>
  <c r="DD321" i="1" s="1"/>
  <c r="CW321" i="1"/>
  <c r="DC321" i="1" s="1"/>
  <c r="CN321" i="1"/>
  <c r="CV321" i="1" s="1"/>
  <c r="CM321" i="1"/>
  <c r="CL321" i="1"/>
  <c r="CK321" i="1"/>
  <c r="CJ321" i="1"/>
  <c r="CI321" i="1"/>
  <c r="CH321" i="1"/>
  <c r="CG321" i="1"/>
  <c r="CF321" i="1"/>
  <c r="BV321" i="1"/>
  <c r="BU321" i="1"/>
  <c r="BT321" i="1"/>
  <c r="BR321" i="1"/>
  <c r="BQ321" i="1"/>
  <c r="BP321" i="1"/>
  <c r="BN321" i="1"/>
  <c r="BM321" i="1"/>
  <c r="BL321" i="1"/>
  <c r="BH321" i="1"/>
  <c r="BE321" i="1"/>
  <c r="AY321" i="1"/>
  <c r="EX321" i="1" s="1"/>
  <c r="AU321" i="1"/>
  <c r="AS321" i="1"/>
  <c r="AP321" i="1"/>
  <c r="AO321" i="1"/>
  <c r="AN321" i="1"/>
  <c r="AL321" i="1"/>
  <c r="AJ321" i="1"/>
  <c r="AG321" i="1"/>
  <c r="AE321" i="1"/>
  <c r="AB321" i="1"/>
  <c r="Z321" i="1"/>
  <c r="X321" i="1"/>
  <c r="R321" i="1"/>
  <c r="CP321" i="1" s="1"/>
  <c r="N321" i="1"/>
  <c r="CR321" i="1" s="1"/>
  <c r="EL419" i="1"/>
  <c r="EL431" i="1" s="1"/>
  <c r="FK320" i="1"/>
  <c r="FJ320" i="1"/>
  <c r="EU320" i="1"/>
  <c r="ES320" i="1"/>
  <c r="EO320" i="1"/>
  <c r="EQ320" i="1" s="1"/>
  <c r="EN320" i="1"/>
  <c r="EJ320" i="1"/>
  <c r="EG320" i="1"/>
  <c r="ED320" i="1"/>
  <c r="EC320" i="1"/>
  <c r="DW320" i="1"/>
  <c r="DY320" i="1" s="1"/>
  <c r="DV320" i="1"/>
  <c r="DU320" i="1"/>
  <c r="BH320" i="1"/>
  <c r="BE320" i="1"/>
  <c r="BB320" i="1"/>
  <c r="AY320" i="1" s="1"/>
  <c r="EX320" i="1" s="1"/>
  <c r="AU320" i="1"/>
  <c r="AG320" i="1"/>
  <c r="AE320" i="1"/>
  <c r="FK319" i="1"/>
  <c r="FJ319" i="1"/>
  <c r="EU319" i="1"/>
  <c r="ES319" i="1"/>
  <c r="EO319" i="1"/>
  <c r="EN319" i="1"/>
  <c r="EJ319" i="1"/>
  <c r="EG319" i="1"/>
  <c r="BH319" i="1"/>
  <c r="BE319" i="1"/>
  <c r="BB319" i="1"/>
  <c r="BA319" i="1"/>
  <c r="AZ319" i="1"/>
  <c r="ED319" i="1" s="1"/>
  <c r="AU319" i="1"/>
  <c r="AS319" i="1"/>
  <c r="AG319" i="1"/>
  <c r="AE319" i="1"/>
  <c r="FK318" i="1"/>
  <c r="FJ318" i="1"/>
  <c r="EU318" i="1"/>
  <c r="ES318" i="1"/>
  <c r="EO318" i="1"/>
  <c r="EN318" i="1"/>
  <c r="EJ318" i="1"/>
  <c r="EG318" i="1"/>
  <c r="DX318" i="1"/>
  <c r="BH318" i="1"/>
  <c r="BE318" i="1"/>
  <c r="BB318" i="1"/>
  <c r="BA318" i="1"/>
  <c r="AZ318" i="1"/>
  <c r="ED318" i="1" s="1"/>
  <c r="AU318" i="1"/>
  <c r="AS318" i="1"/>
  <c r="AG318" i="1"/>
  <c r="AE318" i="1"/>
  <c r="FK317" i="1"/>
  <c r="FJ317" i="1"/>
  <c r="EU317" i="1"/>
  <c r="ES317" i="1"/>
  <c r="EO317" i="1"/>
  <c r="EQ317" i="1" s="1"/>
  <c r="EN317" i="1"/>
  <c r="EJ317" i="1"/>
  <c r="EG317" i="1"/>
  <c r="ED317" i="1"/>
  <c r="EC317" i="1"/>
  <c r="DW317" i="1"/>
  <c r="DY317" i="1" s="1"/>
  <c r="DV317" i="1"/>
  <c r="DU317" i="1"/>
  <c r="BH317" i="1"/>
  <c r="BE317" i="1"/>
  <c r="AY317" i="1"/>
  <c r="EY317" i="1" s="1"/>
  <c r="AU317" i="1"/>
  <c r="AG317" i="1"/>
  <c r="FK316" i="1"/>
  <c r="FJ316" i="1"/>
  <c r="EU316" i="1"/>
  <c r="ES316" i="1"/>
  <c r="EO316" i="1"/>
  <c r="EN316" i="1"/>
  <c r="EJ316" i="1"/>
  <c r="EG316" i="1"/>
  <c r="ED316" i="1"/>
  <c r="EC316" i="1"/>
  <c r="DW316" i="1"/>
  <c r="DV316" i="1"/>
  <c r="DU316" i="1"/>
  <c r="BH316" i="1"/>
  <c r="BE316" i="1"/>
  <c r="AY316" i="1"/>
  <c r="EY316" i="1" s="1"/>
  <c r="AU316" i="1"/>
  <c r="AS316" i="1"/>
  <c r="AG316" i="1"/>
  <c r="AE316" i="1"/>
  <c r="FK315" i="1"/>
  <c r="FJ315" i="1"/>
  <c r="EU315" i="1"/>
  <c r="ES315" i="1"/>
  <c r="EO315" i="1"/>
  <c r="EN315" i="1"/>
  <c r="EJ315" i="1"/>
  <c r="EG315" i="1"/>
  <c r="DX315" i="1"/>
  <c r="DS315" i="1"/>
  <c r="BI315" i="1"/>
  <c r="BH315" i="1"/>
  <c r="BE315" i="1"/>
  <c r="BB315" i="1"/>
  <c r="BA315" i="1"/>
  <c r="AZ315" i="1"/>
  <c r="EC315" i="1" s="1"/>
  <c r="AU315" i="1"/>
  <c r="AS315" i="1"/>
  <c r="AG315" i="1"/>
  <c r="AE315" i="1"/>
  <c r="FK314" i="1"/>
  <c r="FJ314" i="1"/>
  <c r="EU314" i="1"/>
  <c r="ES314" i="1"/>
  <c r="EO314" i="1"/>
  <c r="EQ314" i="1" s="1"/>
  <c r="EN314" i="1"/>
  <c r="EJ314" i="1"/>
  <c r="EG314" i="1"/>
  <c r="ED314" i="1"/>
  <c r="EC314" i="1"/>
  <c r="DW314" i="1"/>
  <c r="DY314" i="1" s="1"/>
  <c r="DV314" i="1"/>
  <c r="DU314" i="1"/>
  <c r="BH314" i="1"/>
  <c r="BE314" i="1"/>
  <c r="AY314" i="1"/>
  <c r="EY314" i="1" s="1"/>
  <c r="AU314" i="1"/>
  <c r="AG314" i="1"/>
  <c r="FR313" i="1"/>
  <c r="FO313" i="1"/>
  <c r="EU313" i="1"/>
  <c r="EJ313" i="1"/>
  <c r="EG313" i="1"/>
  <c r="DX313" i="1"/>
  <c r="DU313" i="1"/>
  <c r="DM313" i="1"/>
  <c r="DL313" i="1"/>
  <c r="DK313" i="1"/>
  <c r="DJ313" i="1"/>
  <c r="DG313" i="1"/>
  <c r="DF313" i="1"/>
  <c r="DE313" i="1"/>
  <c r="CU313" i="1"/>
  <c r="CT313" i="1"/>
  <c r="CS313" i="1"/>
  <c r="CR313" i="1"/>
  <c r="CQ313" i="1"/>
  <c r="CP313" i="1"/>
  <c r="CO313" i="1"/>
  <c r="CN313" i="1"/>
  <c r="CV313" i="1" s="1"/>
  <c r="CM313" i="1"/>
  <c r="CL313" i="1"/>
  <c r="CK313" i="1"/>
  <c r="CJ313" i="1"/>
  <c r="CI313" i="1"/>
  <c r="CH313" i="1"/>
  <c r="CG313" i="1"/>
  <c r="CF313" i="1"/>
  <c r="CE313" i="1"/>
  <c r="CD313" i="1"/>
  <c r="BZ313" i="1"/>
  <c r="BV313" i="1"/>
  <c r="BU313" i="1"/>
  <c r="BT313" i="1"/>
  <c r="BR313" i="1"/>
  <c r="BQ313" i="1"/>
  <c r="BP313" i="1"/>
  <c r="BN313" i="1"/>
  <c r="BM313" i="1"/>
  <c r="BL313" i="1"/>
  <c r="BH313" i="1"/>
  <c r="BE313" i="1"/>
  <c r="AY313" i="1"/>
  <c r="EY313" i="1" s="1"/>
  <c r="AU313" i="1"/>
  <c r="AS313" i="1"/>
  <c r="AP313" i="1"/>
  <c r="AO313" i="1"/>
  <c r="AN313" i="1"/>
  <c r="AL313" i="1"/>
  <c r="AJ313" i="1"/>
  <c r="AG313" i="1"/>
  <c r="AE313" i="1"/>
  <c r="AB313" i="1"/>
  <c r="Z313" i="1"/>
  <c r="X313" i="1"/>
  <c r="FK304" i="1"/>
  <c r="FJ304" i="1"/>
  <c r="EU304" i="1"/>
  <c r="ES304" i="1"/>
  <c r="EO304" i="1"/>
  <c r="EN304" i="1"/>
  <c r="EJ304" i="1"/>
  <c r="EG304" i="1"/>
  <c r="BH304" i="1"/>
  <c r="BE304" i="1"/>
  <c r="BB304" i="1"/>
  <c r="BA304" i="1"/>
  <c r="AZ304" i="1"/>
  <c r="ED304" i="1" s="1"/>
  <c r="AU304" i="1"/>
  <c r="AS304" i="1"/>
  <c r="AG304" i="1"/>
  <c r="AE304" i="1"/>
  <c r="FK303" i="1"/>
  <c r="FJ303" i="1"/>
  <c r="EU303" i="1"/>
  <c r="ES303" i="1"/>
  <c r="EO303" i="1"/>
  <c r="EN303" i="1"/>
  <c r="EJ303" i="1"/>
  <c r="EG303" i="1"/>
  <c r="BH303" i="1"/>
  <c r="BE303" i="1"/>
  <c r="BB303" i="1"/>
  <c r="BA303" i="1"/>
  <c r="AZ303" i="1"/>
  <c r="EC303" i="1" s="1"/>
  <c r="AU303" i="1"/>
  <c r="AS303" i="1"/>
  <c r="AG303" i="1"/>
  <c r="AE303" i="1"/>
  <c r="FK302" i="1"/>
  <c r="FJ302" i="1"/>
  <c r="EU302" i="1"/>
  <c r="ES302" i="1"/>
  <c r="EO302" i="1"/>
  <c r="EQ302" i="1" s="1"/>
  <c r="EN302" i="1"/>
  <c r="EJ302" i="1"/>
  <c r="EG302" i="1"/>
  <c r="ED302" i="1"/>
  <c r="EC302" i="1"/>
  <c r="DW302" i="1"/>
  <c r="DY302" i="1" s="1"/>
  <c r="DV302" i="1"/>
  <c r="DU302" i="1"/>
  <c r="BH302" i="1"/>
  <c r="BE302" i="1"/>
  <c r="AY302" i="1"/>
  <c r="AU302" i="1"/>
  <c r="AG302" i="1"/>
  <c r="FK301" i="1"/>
  <c r="FJ301" i="1"/>
  <c r="EU301" i="1"/>
  <c r="ES301" i="1"/>
  <c r="EO301" i="1"/>
  <c r="EN301" i="1"/>
  <c r="EJ301" i="1"/>
  <c r="EG301" i="1"/>
  <c r="DX301" i="1"/>
  <c r="BI301" i="1"/>
  <c r="BH301" i="1"/>
  <c r="BE301" i="1"/>
  <c r="BB301" i="1"/>
  <c r="BA301" i="1"/>
  <c r="AZ301" i="1"/>
  <c r="EC301" i="1" s="1"/>
  <c r="AU301" i="1"/>
  <c r="AS301" i="1"/>
  <c r="AG301" i="1"/>
  <c r="AE301" i="1"/>
  <c r="HC300" i="1"/>
  <c r="GQ300" i="1"/>
  <c r="GJ300" i="1"/>
  <c r="GB300" i="1"/>
  <c r="GD300" i="1" s="1"/>
  <c r="GA300" i="1"/>
  <c r="FW300" i="1"/>
  <c r="FR300" i="1"/>
  <c r="GF300" i="1" s="1"/>
  <c r="FO300" i="1"/>
  <c r="FZ300" i="1" s="1"/>
  <c r="FK300" i="1"/>
  <c r="FJ300" i="1"/>
  <c r="EU300" i="1"/>
  <c r="ES300" i="1"/>
  <c r="EO300" i="1"/>
  <c r="EQ300" i="1" s="1"/>
  <c r="EN300" i="1"/>
  <c r="EJ300" i="1"/>
  <c r="EG300" i="1"/>
  <c r="ED300" i="1"/>
  <c r="EC300" i="1"/>
  <c r="DW300" i="1"/>
  <c r="DY300" i="1" s="1"/>
  <c r="DV300" i="1"/>
  <c r="DU300" i="1"/>
  <c r="BH300" i="1"/>
  <c r="BE300" i="1"/>
  <c r="AY300" i="1"/>
  <c r="EX300" i="1" s="1"/>
  <c r="AU300" i="1"/>
  <c r="AG300" i="1"/>
  <c r="FR299" i="1"/>
  <c r="FO299" i="1"/>
  <c r="EU299" i="1"/>
  <c r="EJ299" i="1"/>
  <c r="EG299" i="1"/>
  <c r="DX299" i="1"/>
  <c r="DU299" i="1"/>
  <c r="DM299" i="1"/>
  <c r="DL299" i="1"/>
  <c r="DK299" i="1"/>
  <c r="DJ299" i="1"/>
  <c r="DG299" i="1"/>
  <c r="DF299" i="1"/>
  <c r="CU299" i="1"/>
  <c r="CT299" i="1"/>
  <c r="CS299" i="1"/>
  <c r="CR299" i="1"/>
  <c r="CQ299" i="1"/>
  <c r="CP299" i="1"/>
  <c r="CO299" i="1"/>
  <c r="CN299" i="1"/>
  <c r="CV299" i="1" s="1"/>
  <c r="CM299" i="1"/>
  <c r="CL299" i="1"/>
  <c r="CK299" i="1"/>
  <c r="CJ299" i="1"/>
  <c r="CI299" i="1"/>
  <c r="CH299" i="1"/>
  <c r="CG299" i="1"/>
  <c r="CF299" i="1"/>
  <c r="CE299" i="1"/>
  <c r="CD299" i="1"/>
  <c r="BV299" i="1"/>
  <c r="BU299" i="1"/>
  <c r="BT299" i="1"/>
  <c r="BR299" i="1"/>
  <c r="BQ299" i="1"/>
  <c r="BP299" i="1"/>
  <c r="BN299" i="1"/>
  <c r="BM299" i="1"/>
  <c r="BL299" i="1"/>
  <c r="BH299" i="1"/>
  <c r="BE299" i="1"/>
  <c r="AY299" i="1"/>
  <c r="EX299" i="1" s="1"/>
  <c r="AU299" i="1"/>
  <c r="AS299" i="1"/>
  <c r="AP299" i="1"/>
  <c r="AO299" i="1"/>
  <c r="AN299" i="1"/>
  <c r="AL299" i="1"/>
  <c r="AJ299" i="1"/>
  <c r="AC299" i="1"/>
  <c r="AE299" i="1" s="1"/>
  <c r="AB299" i="1"/>
  <c r="Z299" i="1"/>
  <c r="X299" i="1"/>
  <c r="FK290" i="1"/>
  <c r="FJ290" i="1"/>
  <c r="EU290" i="1"/>
  <c r="ES290" i="1"/>
  <c r="EO290" i="1"/>
  <c r="EQ290" i="1" s="1"/>
  <c r="EN290" i="1"/>
  <c r="EJ290" i="1"/>
  <c r="EG290" i="1"/>
  <c r="ED290" i="1"/>
  <c r="EC290" i="1"/>
  <c r="DW290" i="1"/>
  <c r="DY290" i="1" s="1"/>
  <c r="DV290" i="1"/>
  <c r="DU290" i="1"/>
  <c r="DM290" i="1"/>
  <c r="DL290" i="1"/>
  <c r="DK290" i="1"/>
  <c r="DJ290" i="1"/>
  <c r="DG290" i="1"/>
  <c r="DF290" i="1"/>
  <c r="DE290" i="1"/>
  <c r="CZ290" i="1"/>
  <c r="DB290" i="1" s="1"/>
  <c r="CY290" i="1"/>
  <c r="CX290" i="1"/>
  <c r="CW290" i="1"/>
  <c r="DC290" i="1" s="1"/>
  <c r="CR290" i="1"/>
  <c r="CQ290" i="1"/>
  <c r="CP290" i="1"/>
  <c r="CO290" i="1"/>
  <c r="CN290" i="1"/>
  <c r="CV290" i="1" s="1"/>
  <c r="CM290" i="1"/>
  <c r="CL290" i="1"/>
  <c r="CK290" i="1"/>
  <c r="CJ290" i="1"/>
  <c r="CI290" i="1"/>
  <c r="CH290" i="1"/>
  <c r="CG290" i="1"/>
  <c r="CF290" i="1"/>
  <c r="CE290" i="1"/>
  <c r="CD290" i="1"/>
  <c r="CC290" i="1"/>
  <c r="CB290" i="1"/>
  <c r="BZ290" i="1"/>
  <c r="BY290" i="1"/>
  <c r="BX290" i="1"/>
  <c r="BH290" i="1"/>
  <c r="BE290" i="1"/>
  <c r="AY290" i="1"/>
  <c r="EX290" i="1" s="1"/>
  <c r="AU290" i="1"/>
  <c r="AS290" i="1"/>
  <c r="AP290" i="1"/>
  <c r="AO290" i="1"/>
  <c r="AN290" i="1"/>
  <c r="AL290" i="1"/>
  <c r="AJ290" i="1"/>
  <c r="AG290" i="1"/>
  <c r="AE290" i="1"/>
  <c r="AB290" i="1"/>
  <c r="Z290" i="1"/>
  <c r="X290" i="1"/>
  <c r="M290" i="1"/>
  <c r="CT290" i="1" s="1"/>
  <c r="FK289" i="1"/>
  <c r="FJ289" i="1"/>
  <c r="EU289" i="1"/>
  <c r="ES289" i="1"/>
  <c r="EO289" i="1"/>
  <c r="EQ289" i="1" s="1"/>
  <c r="EN289" i="1"/>
  <c r="EJ289" i="1"/>
  <c r="EG289" i="1"/>
  <c r="ED289" i="1"/>
  <c r="EC289" i="1"/>
  <c r="DW289" i="1"/>
  <c r="DY289" i="1" s="1"/>
  <c r="DV289" i="1"/>
  <c r="DU289" i="1"/>
  <c r="DM289" i="1"/>
  <c r="DL289" i="1"/>
  <c r="DK289" i="1"/>
  <c r="DJ289" i="1"/>
  <c r="DG289" i="1"/>
  <c r="DF289" i="1"/>
  <c r="DE289" i="1"/>
  <c r="CZ289" i="1"/>
  <c r="DB289" i="1" s="1"/>
  <c r="CY289" i="1"/>
  <c r="CX289" i="1"/>
  <c r="DA289" i="1" s="1"/>
  <c r="CW289" i="1"/>
  <c r="DC289" i="1" s="1"/>
  <c r="CN289" i="1"/>
  <c r="CV289" i="1" s="1"/>
  <c r="CM289" i="1"/>
  <c r="CL289" i="1"/>
  <c r="CK289" i="1"/>
  <c r="CJ289" i="1"/>
  <c r="CI289" i="1"/>
  <c r="CH289" i="1"/>
  <c r="CG289" i="1"/>
  <c r="CF289" i="1"/>
  <c r="BV289" i="1"/>
  <c r="BU289" i="1"/>
  <c r="BT289" i="1"/>
  <c r="BR289" i="1"/>
  <c r="BQ289" i="1"/>
  <c r="BP289" i="1"/>
  <c r="BN289" i="1"/>
  <c r="BM289" i="1"/>
  <c r="BL289" i="1"/>
  <c r="BH289" i="1"/>
  <c r="BE289" i="1"/>
  <c r="AY289" i="1"/>
  <c r="EY289" i="1" s="1"/>
  <c r="AU289" i="1"/>
  <c r="AS289" i="1"/>
  <c r="AP289" i="1"/>
  <c r="AO289" i="1"/>
  <c r="AN289" i="1"/>
  <c r="AL289" i="1"/>
  <c r="AJ289" i="1"/>
  <c r="AG289" i="1"/>
  <c r="AE289" i="1"/>
  <c r="AB289" i="1"/>
  <c r="Z289" i="1"/>
  <c r="X289" i="1"/>
  <c r="R289" i="1"/>
  <c r="CO289" i="1" s="1"/>
  <c r="N289" i="1"/>
  <c r="CQ289" i="1" s="1"/>
  <c r="FJ288" i="1"/>
  <c r="FL288" i="1" s="1"/>
  <c r="EU288" i="1"/>
  <c r="ES288" i="1"/>
  <c r="EO288" i="1"/>
  <c r="EN288" i="1"/>
  <c r="EJ288" i="1"/>
  <c r="EG288" i="1"/>
  <c r="ED288" i="1"/>
  <c r="EC288" i="1"/>
  <c r="DW288" i="1"/>
  <c r="DV288" i="1"/>
  <c r="DU288" i="1"/>
  <c r="DM288" i="1"/>
  <c r="DG288" i="1"/>
  <c r="DF288" i="1"/>
  <c r="DE288" i="1"/>
  <c r="CZ288" i="1"/>
  <c r="CY288" i="1"/>
  <c r="BH288" i="1"/>
  <c r="BE288" i="1"/>
  <c r="AY288" i="1"/>
  <c r="EX288" i="1" s="1"/>
  <c r="AU288" i="1"/>
  <c r="AS288" i="1"/>
  <c r="AP288" i="1"/>
  <c r="AO288" i="1"/>
  <c r="AN288" i="1"/>
  <c r="AL288" i="1"/>
  <c r="AJ288" i="1"/>
  <c r="AG288" i="1"/>
  <c r="AE288" i="1"/>
  <c r="AB288" i="1"/>
  <c r="Z288" i="1"/>
  <c r="X288" i="1"/>
  <c r="I288" i="1"/>
  <c r="J288" i="1" s="1"/>
  <c r="E288" i="1"/>
  <c r="BU288" i="1" s="1"/>
  <c r="D288" i="1"/>
  <c r="FL287" i="1"/>
  <c r="FD287" i="1"/>
  <c r="FC287" i="1"/>
  <c r="FA287" i="1"/>
  <c r="EU287" i="1"/>
  <c r="ES287" i="1"/>
  <c r="EO287" i="1"/>
  <c r="EN287" i="1"/>
  <c r="EJ287" i="1"/>
  <c r="EG287" i="1"/>
  <c r="DX287" i="1"/>
  <c r="DM287" i="1"/>
  <c r="DG287" i="1"/>
  <c r="DF287" i="1"/>
  <c r="DE287" i="1"/>
  <c r="CZ287" i="1"/>
  <c r="CY287" i="1"/>
  <c r="BI287" i="1"/>
  <c r="BH287" i="1"/>
  <c r="BE287" i="1"/>
  <c r="BB287" i="1"/>
  <c r="BA287" i="1"/>
  <c r="AZ287" i="1"/>
  <c r="EC287" i="1" s="1"/>
  <c r="FB287" i="1" s="1"/>
  <c r="AU287" i="1"/>
  <c r="AS287" i="1"/>
  <c r="AP287" i="1"/>
  <c r="AO287" i="1"/>
  <c r="AN287" i="1"/>
  <c r="AL287" i="1"/>
  <c r="AJ287" i="1"/>
  <c r="AG287" i="1"/>
  <c r="AE287" i="1"/>
  <c r="AB287" i="1"/>
  <c r="Z287" i="1"/>
  <c r="X287" i="1"/>
  <c r="R287" i="1"/>
  <c r="N287" i="1"/>
  <c r="I287" i="1"/>
  <c r="J287" i="1" s="1"/>
  <c r="E287" i="1"/>
  <c r="BU287" i="1" s="1"/>
  <c r="D287" i="1"/>
  <c r="FK286" i="1"/>
  <c r="FJ286" i="1"/>
  <c r="EU286" i="1"/>
  <c r="ES286" i="1"/>
  <c r="EO286" i="1"/>
  <c r="EQ286" i="1" s="1"/>
  <c r="EN286" i="1"/>
  <c r="EJ286" i="1"/>
  <c r="EG286" i="1"/>
  <c r="ED286" i="1"/>
  <c r="EC286" i="1"/>
  <c r="DW286" i="1"/>
  <c r="DY286" i="1" s="1"/>
  <c r="DV286" i="1"/>
  <c r="DU286" i="1"/>
  <c r="DM286" i="1"/>
  <c r="DL286" i="1"/>
  <c r="DK286" i="1"/>
  <c r="DJ286" i="1"/>
  <c r="DG286" i="1"/>
  <c r="DF286" i="1"/>
  <c r="DE286" i="1"/>
  <c r="CZ286" i="1"/>
  <c r="DB286" i="1" s="1"/>
  <c r="CY286" i="1"/>
  <c r="CX286" i="1"/>
  <c r="CW286" i="1"/>
  <c r="DC286" i="1" s="1"/>
  <c r="CN286" i="1"/>
  <c r="CV286" i="1" s="1"/>
  <c r="CM286" i="1"/>
  <c r="CL286" i="1"/>
  <c r="CK286" i="1"/>
  <c r="CJ286" i="1"/>
  <c r="CI286" i="1"/>
  <c r="CH286" i="1"/>
  <c r="CG286" i="1"/>
  <c r="CF286" i="1"/>
  <c r="BV286" i="1"/>
  <c r="BU286" i="1"/>
  <c r="BT286" i="1"/>
  <c r="BR286" i="1"/>
  <c r="BQ286" i="1"/>
  <c r="BP286" i="1"/>
  <c r="BN286" i="1"/>
  <c r="BM286" i="1"/>
  <c r="BL286" i="1"/>
  <c r="BH286" i="1"/>
  <c r="BE286" i="1"/>
  <c r="AY286" i="1"/>
  <c r="EX286" i="1" s="1"/>
  <c r="AU286" i="1"/>
  <c r="AS286" i="1"/>
  <c r="AP286" i="1"/>
  <c r="AO286" i="1"/>
  <c r="AN286" i="1"/>
  <c r="AL286" i="1"/>
  <c r="AJ286" i="1"/>
  <c r="AG286" i="1"/>
  <c r="AE286" i="1"/>
  <c r="AB286" i="1"/>
  <c r="Z286" i="1"/>
  <c r="X286" i="1"/>
  <c r="R286" i="1"/>
  <c r="N286" i="1"/>
  <c r="CR286" i="1" s="1"/>
  <c r="FL285" i="1"/>
  <c r="EU285" i="1"/>
  <c r="ES285" i="1"/>
  <c r="EO285" i="1"/>
  <c r="EN285" i="1"/>
  <c r="EJ285" i="1"/>
  <c r="EG285" i="1"/>
  <c r="DX285" i="1"/>
  <c r="DM285" i="1"/>
  <c r="DG285" i="1"/>
  <c r="DF285" i="1"/>
  <c r="DE285" i="1"/>
  <c r="CZ285" i="1"/>
  <c r="CY285" i="1"/>
  <c r="BI285" i="1"/>
  <c r="BH285" i="1"/>
  <c r="BE285" i="1"/>
  <c r="BB285" i="1"/>
  <c r="BA285" i="1"/>
  <c r="AZ285" i="1"/>
  <c r="DW285" i="1" s="1"/>
  <c r="AU285" i="1"/>
  <c r="AS285" i="1"/>
  <c r="AP285" i="1"/>
  <c r="AO285" i="1"/>
  <c r="AN285" i="1"/>
  <c r="AL285" i="1"/>
  <c r="AJ285" i="1"/>
  <c r="AG285" i="1"/>
  <c r="AE285" i="1"/>
  <c r="AB285" i="1"/>
  <c r="Z285" i="1"/>
  <c r="X285" i="1"/>
  <c r="R285" i="1"/>
  <c r="N285" i="1"/>
  <c r="I285" i="1"/>
  <c r="E285" i="1"/>
  <c r="D285" i="1"/>
  <c r="FK284" i="1"/>
  <c r="FJ284" i="1"/>
  <c r="EU284" i="1"/>
  <c r="ES284" i="1"/>
  <c r="EO284" i="1"/>
  <c r="EQ284" i="1" s="1"/>
  <c r="EN284" i="1"/>
  <c r="EJ284" i="1"/>
  <c r="EG284" i="1"/>
  <c r="ED284" i="1"/>
  <c r="EC284" i="1"/>
  <c r="DW284" i="1"/>
  <c r="DY284" i="1" s="1"/>
  <c r="DV284" i="1"/>
  <c r="DU284" i="1"/>
  <c r="DM284" i="1"/>
  <c r="DL284" i="1"/>
  <c r="DK284" i="1"/>
  <c r="DJ284" i="1"/>
  <c r="DG284" i="1"/>
  <c r="DF284" i="1"/>
  <c r="DE284" i="1"/>
  <c r="CZ284" i="1"/>
  <c r="DB284" i="1" s="1"/>
  <c r="CY284" i="1"/>
  <c r="CX284" i="1"/>
  <c r="DA284" i="1" s="1"/>
  <c r="CW284" i="1"/>
  <c r="DC284" i="1" s="1"/>
  <c r="CN284" i="1"/>
  <c r="CV284" i="1" s="1"/>
  <c r="CM284" i="1"/>
  <c r="CL284" i="1"/>
  <c r="CK284" i="1"/>
  <c r="CJ284" i="1"/>
  <c r="CI284" i="1"/>
  <c r="CH284" i="1"/>
  <c r="CG284" i="1"/>
  <c r="CF284" i="1"/>
  <c r="BV284" i="1"/>
  <c r="BU284" i="1"/>
  <c r="BT284" i="1"/>
  <c r="BR284" i="1"/>
  <c r="BQ284" i="1"/>
  <c r="BP284" i="1"/>
  <c r="BN284" i="1"/>
  <c r="BM284" i="1"/>
  <c r="BL284" i="1"/>
  <c r="BH284" i="1"/>
  <c r="BE284" i="1"/>
  <c r="AY284" i="1"/>
  <c r="EY284" i="1" s="1"/>
  <c r="AU284" i="1"/>
  <c r="AS284" i="1"/>
  <c r="AP284" i="1"/>
  <c r="AO284" i="1"/>
  <c r="AN284" i="1"/>
  <c r="AL284" i="1"/>
  <c r="AJ284" i="1"/>
  <c r="AG284" i="1"/>
  <c r="AE284" i="1"/>
  <c r="AB284" i="1"/>
  <c r="Z284" i="1"/>
  <c r="X284" i="1"/>
  <c r="R284" i="1"/>
  <c r="CO284" i="1" s="1"/>
  <c r="N284" i="1"/>
  <c r="CQ284" i="1" s="1"/>
  <c r="EF283" i="1"/>
  <c r="EO283" i="1" s="1"/>
  <c r="EE283" i="1"/>
  <c r="FJ283" i="1" s="1"/>
  <c r="ED283" i="1"/>
  <c r="DW283" i="1"/>
  <c r="DV283" i="1"/>
  <c r="DM283" i="1"/>
  <c r="DG283" i="1"/>
  <c r="DF283" i="1"/>
  <c r="DE283" i="1"/>
  <c r="CZ283" i="1"/>
  <c r="CY283" i="1"/>
  <c r="BF283" i="1"/>
  <c r="EC283" i="1" s="1"/>
  <c r="BE283" i="1"/>
  <c r="AY283" i="1"/>
  <c r="EX283" i="1" s="1"/>
  <c r="AU283" i="1"/>
  <c r="AS283" i="1"/>
  <c r="AP283" i="1"/>
  <c r="AO283" i="1"/>
  <c r="AN283" i="1"/>
  <c r="AL283" i="1"/>
  <c r="AJ283" i="1"/>
  <c r="AG283" i="1"/>
  <c r="AE283" i="1"/>
  <c r="AB283" i="1"/>
  <c r="Z283" i="1"/>
  <c r="X283" i="1"/>
  <c r="I283" i="1"/>
  <c r="E283" i="1"/>
  <c r="D283" i="1"/>
  <c r="EU282" i="1"/>
  <c r="ES282" i="1"/>
  <c r="EO282" i="1"/>
  <c r="EI282" i="1"/>
  <c r="FK282" i="1" s="1"/>
  <c r="EH282" i="1"/>
  <c r="FJ282" i="1" s="1"/>
  <c r="EG282" i="1"/>
  <c r="DX282" i="1"/>
  <c r="DM282" i="1"/>
  <c r="DG282" i="1"/>
  <c r="DF282" i="1"/>
  <c r="DE282" i="1"/>
  <c r="CZ282" i="1"/>
  <c r="CY282" i="1"/>
  <c r="BI282" i="1"/>
  <c r="BH282" i="1"/>
  <c r="BE282" i="1"/>
  <c r="BB282" i="1"/>
  <c r="BA282" i="1"/>
  <c r="AZ282" i="1"/>
  <c r="DV282" i="1" s="1"/>
  <c r="AU282" i="1"/>
  <c r="AS282" i="1"/>
  <c r="AP282" i="1"/>
  <c r="AO282" i="1"/>
  <c r="AN282" i="1"/>
  <c r="AL282" i="1"/>
  <c r="AJ282" i="1"/>
  <c r="AG282" i="1"/>
  <c r="AE282" i="1"/>
  <c r="AB282" i="1"/>
  <c r="Z282" i="1"/>
  <c r="X282" i="1"/>
  <c r="R282" i="1"/>
  <c r="N282" i="1"/>
  <c r="I282" i="1"/>
  <c r="E282" i="1"/>
  <c r="D282" i="1"/>
  <c r="FK281" i="1"/>
  <c r="FJ281" i="1"/>
  <c r="EU281" i="1"/>
  <c r="ES281" i="1"/>
  <c r="EO281" i="1"/>
  <c r="EQ281" i="1" s="1"/>
  <c r="EN281" i="1"/>
  <c r="EJ281" i="1"/>
  <c r="EG281" i="1"/>
  <c r="ED281" i="1"/>
  <c r="EC281" i="1"/>
  <c r="DW281" i="1"/>
  <c r="DY281" i="1" s="1"/>
  <c r="DV281" i="1"/>
  <c r="DU281" i="1"/>
  <c r="DM281" i="1"/>
  <c r="DL281" i="1"/>
  <c r="DK281" i="1"/>
  <c r="DJ281" i="1"/>
  <c r="DG281" i="1"/>
  <c r="DF281" i="1"/>
  <c r="DE281" i="1"/>
  <c r="CZ281" i="1"/>
  <c r="DB281" i="1" s="1"/>
  <c r="CY281" i="1"/>
  <c r="CX281" i="1"/>
  <c r="DD281" i="1" s="1"/>
  <c r="CW281" i="1"/>
  <c r="DC281" i="1" s="1"/>
  <c r="CU281" i="1"/>
  <c r="CT281" i="1"/>
  <c r="CS281" i="1"/>
  <c r="CR281" i="1"/>
  <c r="CQ281" i="1"/>
  <c r="CP281" i="1"/>
  <c r="CO281" i="1"/>
  <c r="CN281" i="1"/>
  <c r="CV281" i="1" s="1"/>
  <c r="CM281" i="1"/>
  <c r="CL281" i="1"/>
  <c r="CK281" i="1"/>
  <c r="CJ281" i="1"/>
  <c r="CI281" i="1"/>
  <c r="CH281" i="1"/>
  <c r="CG281" i="1"/>
  <c r="CF281" i="1"/>
  <c r="CE281" i="1"/>
  <c r="CD281" i="1"/>
  <c r="CC281" i="1"/>
  <c r="CB281" i="1"/>
  <c r="BZ281" i="1"/>
  <c r="BY281" i="1"/>
  <c r="BX281" i="1"/>
  <c r="BV281" i="1"/>
  <c r="BU281" i="1"/>
  <c r="BT281" i="1"/>
  <c r="BR281" i="1"/>
  <c r="BQ281" i="1"/>
  <c r="BP281" i="1"/>
  <c r="BN281" i="1"/>
  <c r="BM281" i="1"/>
  <c r="BL281" i="1"/>
  <c r="BH281" i="1"/>
  <c r="BE281" i="1"/>
  <c r="AY281" i="1"/>
  <c r="EX281" i="1" s="1"/>
  <c r="AU281" i="1"/>
  <c r="AS281" i="1"/>
  <c r="AP281" i="1"/>
  <c r="AO281" i="1"/>
  <c r="AN281" i="1"/>
  <c r="AL281" i="1"/>
  <c r="AJ281" i="1"/>
  <c r="AG281" i="1"/>
  <c r="AE281" i="1"/>
  <c r="AB281" i="1"/>
  <c r="Z281" i="1"/>
  <c r="X281" i="1"/>
  <c r="FK275" i="1"/>
  <c r="FJ275" i="1"/>
  <c r="EU275" i="1"/>
  <c r="ES275" i="1"/>
  <c r="EO275" i="1"/>
  <c r="EN275" i="1"/>
  <c r="EJ275" i="1"/>
  <c r="EG275" i="1"/>
  <c r="ED275" i="1"/>
  <c r="EC275" i="1"/>
  <c r="DW275" i="1"/>
  <c r="DV275" i="1"/>
  <c r="DU275" i="1"/>
  <c r="BH275" i="1"/>
  <c r="BE275" i="1"/>
  <c r="AY275" i="1"/>
  <c r="EY275" i="1" s="1"/>
  <c r="AU275" i="1"/>
  <c r="AS275" i="1"/>
  <c r="AG275" i="1"/>
  <c r="AE275" i="1"/>
  <c r="FM274" i="1"/>
  <c r="FK274" i="1"/>
  <c r="FJ274" i="1"/>
  <c r="EU274" i="1"/>
  <c r="ES274" i="1"/>
  <c r="EO274" i="1"/>
  <c r="EN274" i="1"/>
  <c r="EJ274" i="1"/>
  <c r="EG274" i="1"/>
  <c r="DX274" i="1"/>
  <c r="BI274" i="1"/>
  <c r="BH274" i="1"/>
  <c r="BE274" i="1"/>
  <c r="BB274" i="1"/>
  <c r="BA274" i="1"/>
  <c r="AZ274" i="1"/>
  <c r="ED274" i="1" s="1"/>
  <c r="AU274" i="1"/>
  <c r="AS274" i="1"/>
  <c r="AG274" i="1"/>
  <c r="AE274" i="1"/>
  <c r="GJ273" i="1"/>
  <c r="GI273" i="1"/>
  <c r="GB273" i="1"/>
  <c r="GD273" i="1" s="1"/>
  <c r="GA273" i="1"/>
  <c r="FW273" i="1"/>
  <c r="FR273" i="1"/>
  <c r="GF273" i="1" s="1"/>
  <c r="FO273" i="1"/>
  <c r="FZ273" i="1" s="1"/>
  <c r="GC273" i="1" s="1"/>
  <c r="FK273" i="1"/>
  <c r="FJ273" i="1"/>
  <c r="EU273" i="1"/>
  <c r="ES273" i="1"/>
  <c r="EO273" i="1"/>
  <c r="EQ273" i="1" s="1"/>
  <c r="EN273" i="1"/>
  <c r="EJ273" i="1"/>
  <c r="EG273" i="1"/>
  <c r="ED273" i="1"/>
  <c r="EC273" i="1"/>
  <c r="DW273" i="1"/>
  <c r="DY273" i="1" s="1"/>
  <c r="DV273" i="1"/>
  <c r="DU273" i="1"/>
  <c r="BH273" i="1"/>
  <c r="BE273" i="1"/>
  <c r="AY273" i="1"/>
  <c r="AU273" i="1"/>
  <c r="AG273" i="1"/>
  <c r="FR272" i="1"/>
  <c r="FO272" i="1"/>
  <c r="EU272" i="1"/>
  <c r="EJ272" i="1"/>
  <c r="EG272" i="1"/>
  <c r="DX272" i="1"/>
  <c r="DU272" i="1"/>
  <c r="DM272" i="1"/>
  <c r="DL272" i="1"/>
  <c r="DK272" i="1"/>
  <c r="DJ272" i="1"/>
  <c r="DG272" i="1"/>
  <c r="DF272" i="1"/>
  <c r="DE272" i="1"/>
  <c r="CU272" i="1"/>
  <c r="CT272" i="1"/>
  <c r="CS272" i="1"/>
  <c r="CR272" i="1"/>
  <c r="CQ272" i="1"/>
  <c r="CP272" i="1"/>
  <c r="CO272" i="1"/>
  <c r="CN272" i="1"/>
  <c r="CV272" i="1" s="1"/>
  <c r="CM272" i="1"/>
  <c r="CL272" i="1"/>
  <c r="CK272" i="1"/>
  <c r="CJ272" i="1"/>
  <c r="CI272" i="1"/>
  <c r="CH272" i="1"/>
  <c r="CG272" i="1"/>
  <c r="CF272" i="1"/>
  <c r="CE272" i="1"/>
  <c r="CD272" i="1"/>
  <c r="BZ272" i="1"/>
  <c r="BV272" i="1"/>
  <c r="BU272" i="1"/>
  <c r="BT272" i="1"/>
  <c r="BR272" i="1"/>
  <c r="BQ272" i="1"/>
  <c r="BP272" i="1"/>
  <c r="BN272" i="1"/>
  <c r="BM272" i="1"/>
  <c r="BL272" i="1"/>
  <c r="BH272" i="1"/>
  <c r="BE272" i="1"/>
  <c r="AY272" i="1"/>
  <c r="AU272" i="1"/>
  <c r="AS272" i="1"/>
  <c r="AP272" i="1"/>
  <c r="AO272" i="1"/>
  <c r="AN272" i="1"/>
  <c r="AL272" i="1"/>
  <c r="AJ272" i="1"/>
  <c r="AG272" i="1"/>
  <c r="AE272" i="1"/>
  <c r="AB272" i="1"/>
  <c r="Z272" i="1"/>
  <c r="X272" i="1"/>
  <c r="FK267" i="1"/>
  <c r="FJ267" i="1"/>
  <c r="EU267" i="1"/>
  <c r="ES267" i="1"/>
  <c r="EO267" i="1"/>
  <c r="EN267" i="1"/>
  <c r="EJ267" i="1"/>
  <c r="EG267" i="1"/>
  <c r="ED267" i="1"/>
  <c r="EC267" i="1"/>
  <c r="DW267" i="1"/>
  <c r="DV267" i="1"/>
  <c r="DU267" i="1"/>
  <c r="DM267" i="1"/>
  <c r="DG267" i="1"/>
  <c r="DF267" i="1"/>
  <c r="DE267" i="1"/>
  <c r="CZ267" i="1"/>
  <c r="CY267" i="1"/>
  <c r="BU267" i="1"/>
  <c r="BT267" i="1"/>
  <c r="CJ267" i="1" s="1"/>
  <c r="BQ267" i="1"/>
  <c r="BP267" i="1"/>
  <c r="CI267" i="1" s="1"/>
  <c r="BM267" i="1"/>
  <c r="BL267" i="1"/>
  <c r="CH267" i="1" s="1"/>
  <c r="BH267" i="1"/>
  <c r="BE267" i="1"/>
  <c r="AY267" i="1"/>
  <c r="EX267" i="1" s="1"/>
  <c r="AU267" i="1"/>
  <c r="AG267" i="1"/>
  <c r="AE267" i="1"/>
  <c r="R267" i="1"/>
  <c r="N267" i="1"/>
  <c r="I267" i="1"/>
  <c r="K267" i="1" s="1"/>
  <c r="FK266" i="1"/>
  <c r="FJ266" i="1"/>
  <c r="EU266" i="1"/>
  <c r="ES266" i="1"/>
  <c r="EO266" i="1"/>
  <c r="EN266" i="1"/>
  <c r="EJ266" i="1"/>
  <c r="EG266" i="1"/>
  <c r="EC266" i="1"/>
  <c r="DX266" i="1"/>
  <c r="DV266" i="1"/>
  <c r="DU266" i="1"/>
  <c r="DM266" i="1"/>
  <c r="DG266" i="1"/>
  <c r="DF266" i="1"/>
  <c r="DE266" i="1"/>
  <c r="CZ266" i="1"/>
  <c r="CY266" i="1"/>
  <c r="BU266" i="1"/>
  <c r="BT266" i="1"/>
  <c r="CJ266" i="1" s="1"/>
  <c r="BQ266" i="1"/>
  <c r="BP266" i="1"/>
  <c r="BM266" i="1"/>
  <c r="BL266" i="1"/>
  <c r="BH266" i="1"/>
  <c r="BD266" i="1"/>
  <c r="BI266" i="1" s="1"/>
  <c r="AY266" i="1"/>
  <c r="DZ266" i="1" s="1"/>
  <c r="AU266" i="1"/>
  <c r="AG266" i="1"/>
  <c r="AE266" i="1"/>
  <c r="R266" i="1"/>
  <c r="N266" i="1"/>
  <c r="BX266" i="1" s="1"/>
  <c r="I266" i="1"/>
  <c r="L266" i="1" s="1"/>
  <c r="FK265" i="1"/>
  <c r="FJ265" i="1"/>
  <c r="EU265" i="1"/>
  <c r="ES265" i="1"/>
  <c r="EO265" i="1"/>
  <c r="EQ265" i="1" s="1"/>
  <c r="EN265" i="1"/>
  <c r="EJ265" i="1"/>
  <c r="EG265" i="1"/>
  <c r="ED265" i="1"/>
  <c r="EC265" i="1"/>
  <c r="DW265" i="1"/>
  <c r="DY265" i="1" s="1"/>
  <c r="DV265" i="1"/>
  <c r="DU265" i="1"/>
  <c r="DM265" i="1"/>
  <c r="DL265" i="1"/>
  <c r="DK265" i="1"/>
  <c r="DJ265" i="1"/>
  <c r="DG265" i="1"/>
  <c r="DF265" i="1"/>
  <c r="DE265" i="1"/>
  <c r="CZ265" i="1"/>
  <c r="DB265" i="1" s="1"/>
  <c r="CY265" i="1"/>
  <c r="CX265" i="1"/>
  <c r="DA265" i="1" s="1"/>
  <c r="CW265" i="1"/>
  <c r="DC265" i="1" s="1"/>
  <c r="CJ265" i="1"/>
  <c r="CI265" i="1"/>
  <c r="CH265" i="1"/>
  <c r="CG265" i="1"/>
  <c r="CF265" i="1"/>
  <c r="BV265" i="1"/>
  <c r="BU265" i="1"/>
  <c r="BT265" i="1"/>
  <c r="BR265" i="1"/>
  <c r="BQ265" i="1"/>
  <c r="BP265" i="1"/>
  <c r="BN265" i="1"/>
  <c r="BM265" i="1"/>
  <c r="BL265" i="1"/>
  <c r="BH265" i="1"/>
  <c r="BE265" i="1"/>
  <c r="AY265" i="1"/>
  <c r="AU265" i="1"/>
  <c r="AG265" i="1"/>
  <c r="AE265" i="1"/>
  <c r="R265" i="1"/>
  <c r="CO265" i="1" s="1"/>
  <c r="N265" i="1"/>
  <c r="D265" i="1"/>
  <c r="FK264" i="1"/>
  <c r="FJ264" i="1"/>
  <c r="EY264" i="1"/>
  <c r="EX264" i="1"/>
  <c r="EU264" i="1"/>
  <c r="ES264" i="1"/>
  <c r="EO264" i="1"/>
  <c r="EN264" i="1"/>
  <c r="EJ264" i="1"/>
  <c r="EG264" i="1"/>
  <c r="FK263" i="1"/>
  <c r="FJ263" i="1"/>
  <c r="EY263" i="1"/>
  <c r="EX263" i="1"/>
  <c r="EU263" i="1"/>
  <c r="ES263" i="1"/>
  <c r="EO263" i="1"/>
  <c r="EN263" i="1"/>
  <c r="EJ263" i="1"/>
  <c r="EG263" i="1"/>
  <c r="FK262" i="1"/>
  <c r="FJ262" i="1"/>
  <c r="EY262" i="1"/>
  <c r="EX262" i="1"/>
  <c r="EU262" i="1"/>
  <c r="ES262" i="1"/>
  <c r="EO262" i="1"/>
  <c r="EN262" i="1"/>
  <c r="EJ262" i="1"/>
  <c r="EG262" i="1"/>
  <c r="FK261" i="1"/>
  <c r="FJ261" i="1"/>
  <c r="EY261" i="1"/>
  <c r="EX261" i="1"/>
  <c r="EU261" i="1"/>
  <c r="ES261" i="1"/>
  <c r="EO261" i="1"/>
  <c r="EQ261" i="1" s="1"/>
  <c r="EN261" i="1"/>
  <c r="EJ261" i="1"/>
  <c r="EG261" i="1"/>
  <c r="AZ425" i="1"/>
  <c r="FK260" i="1"/>
  <c r="FJ260" i="1"/>
  <c r="EU260" i="1"/>
  <c r="ES260" i="1"/>
  <c r="EO260" i="1"/>
  <c r="EN260" i="1"/>
  <c r="EJ260" i="1"/>
  <c r="EG260" i="1"/>
  <c r="ED260" i="1"/>
  <c r="EC260" i="1"/>
  <c r="DW260" i="1"/>
  <c r="DV260" i="1"/>
  <c r="DU260" i="1"/>
  <c r="BH260" i="1"/>
  <c r="BE260" i="1"/>
  <c r="AY260" i="1"/>
  <c r="EY260" i="1" s="1"/>
  <c r="AU260" i="1"/>
  <c r="AS260" i="1"/>
  <c r="AG260" i="1"/>
  <c r="AE260" i="1"/>
  <c r="FK259" i="1"/>
  <c r="FJ259" i="1"/>
  <c r="EU259" i="1"/>
  <c r="ES259" i="1"/>
  <c r="EO259" i="1"/>
  <c r="EN259" i="1"/>
  <c r="EJ259" i="1"/>
  <c r="EG259" i="1"/>
  <c r="DX259" i="1"/>
  <c r="BI259" i="1"/>
  <c r="BH259" i="1"/>
  <c r="BE259" i="1"/>
  <c r="BB259" i="1"/>
  <c r="BA259" i="1"/>
  <c r="AZ259" i="1"/>
  <c r="ED259" i="1" s="1"/>
  <c r="AU259" i="1"/>
  <c r="AS259" i="1"/>
  <c r="AG259" i="1"/>
  <c r="AE259" i="1"/>
  <c r="FK258" i="1"/>
  <c r="FJ258" i="1"/>
  <c r="EU258" i="1"/>
  <c r="ES258" i="1"/>
  <c r="EO258" i="1"/>
  <c r="EQ258" i="1" s="1"/>
  <c r="EN258" i="1"/>
  <c r="EJ258" i="1"/>
  <c r="EG258" i="1"/>
  <c r="ED258" i="1"/>
  <c r="EC258" i="1"/>
  <c r="DW258" i="1"/>
  <c r="DY258" i="1" s="1"/>
  <c r="DV258" i="1"/>
  <c r="DU258" i="1"/>
  <c r="BH258" i="1"/>
  <c r="BE258" i="1"/>
  <c r="AY258" i="1"/>
  <c r="AU258" i="1"/>
  <c r="AG258" i="1"/>
  <c r="FR257" i="1"/>
  <c r="FO257" i="1"/>
  <c r="EU257" i="1"/>
  <c r="EJ257" i="1"/>
  <c r="EG257" i="1"/>
  <c r="DX257" i="1"/>
  <c r="DU257" i="1"/>
  <c r="DM257" i="1"/>
  <c r="DL257" i="1"/>
  <c r="DK257" i="1"/>
  <c r="DJ257" i="1"/>
  <c r="DG257" i="1"/>
  <c r="DF257" i="1"/>
  <c r="DE257" i="1"/>
  <c r="CU257" i="1"/>
  <c r="CT257" i="1"/>
  <c r="CS257" i="1"/>
  <c r="CR257" i="1"/>
  <c r="CQ257" i="1"/>
  <c r="CP257" i="1"/>
  <c r="CO257" i="1"/>
  <c r="CN257" i="1"/>
  <c r="CV257" i="1" s="1"/>
  <c r="CM257" i="1"/>
  <c r="CL257" i="1"/>
  <c r="CK257" i="1"/>
  <c r="CJ257" i="1"/>
  <c r="CI257" i="1"/>
  <c r="CH257" i="1"/>
  <c r="CG257" i="1"/>
  <c r="CF257" i="1"/>
  <c r="CE257" i="1"/>
  <c r="CD257" i="1"/>
  <c r="BZ257" i="1"/>
  <c r="BV257" i="1"/>
  <c r="BU257" i="1"/>
  <c r="BT257" i="1"/>
  <c r="BR257" i="1"/>
  <c r="BQ257" i="1"/>
  <c r="BP257" i="1"/>
  <c r="BN257" i="1"/>
  <c r="BM257" i="1"/>
  <c r="BL257" i="1"/>
  <c r="BH257" i="1"/>
  <c r="BE257" i="1"/>
  <c r="AY257" i="1"/>
  <c r="EY257" i="1" s="1"/>
  <c r="AU257" i="1"/>
  <c r="AS257" i="1"/>
  <c r="AP257" i="1"/>
  <c r="AO257" i="1"/>
  <c r="AN257" i="1"/>
  <c r="AL257" i="1"/>
  <c r="AJ257" i="1"/>
  <c r="AG257" i="1"/>
  <c r="AE257" i="1"/>
  <c r="AB257" i="1"/>
  <c r="Z257" i="1"/>
  <c r="X257" i="1"/>
  <c r="FK254" i="1"/>
  <c r="FJ254" i="1"/>
  <c r="EU254" i="1"/>
  <c r="ES254" i="1"/>
  <c r="EO254" i="1"/>
  <c r="EQ254" i="1" s="1"/>
  <c r="EN254" i="1"/>
  <c r="EJ254" i="1"/>
  <c r="EG254" i="1"/>
  <c r="ED254" i="1"/>
  <c r="EC254" i="1"/>
  <c r="DW254" i="1"/>
  <c r="DY254" i="1" s="1"/>
  <c r="DV254" i="1"/>
  <c r="DU254" i="1"/>
  <c r="DM254" i="1"/>
  <c r="DG254" i="1"/>
  <c r="DF254" i="1"/>
  <c r="DE254" i="1"/>
  <c r="CZ254" i="1"/>
  <c r="DB254" i="1" s="1"/>
  <c r="CY254" i="1"/>
  <c r="CJ254" i="1"/>
  <c r="CI254" i="1"/>
  <c r="CH254" i="1"/>
  <c r="BU254" i="1"/>
  <c r="BT254" i="1"/>
  <c r="BQ254" i="1"/>
  <c r="BP254" i="1"/>
  <c r="BM254" i="1"/>
  <c r="BL254" i="1"/>
  <c r="BH254" i="1"/>
  <c r="BE254" i="1"/>
  <c r="BA254" i="1"/>
  <c r="AY254" i="1" s="1"/>
  <c r="EX254" i="1" s="1"/>
  <c r="AU254" i="1"/>
  <c r="AS254" i="1"/>
  <c r="AP254" i="1"/>
  <c r="AO254" i="1"/>
  <c r="AN254" i="1"/>
  <c r="AL254" i="1"/>
  <c r="AJ254" i="1"/>
  <c r="AG254" i="1"/>
  <c r="AE254" i="1"/>
  <c r="AB254" i="1"/>
  <c r="Z254" i="1"/>
  <c r="X254" i="1"/>
  <c r="R254" i="1"/>
  <c r="N254" i="1"/>
  <c r="CR254" i="1" s="1"/>
  <c r="I254" i="1"/>
  <c r="D254" i="1"/>
  <c r="FK253" i="1"/>
  <c r="FJ253" i="1"/>
  <c r="EU253" i="1"/>
  <c r="ES253" i="1"/>
  <c r="EO253" i="1"/>
  <c r="EQ253" i="1" s="1"/>
  <c r="EN253" i="1"/>
  <c r="EJ253" i="1"/>
  <c r="EG253" i="1"/>
  <c r="ED253" i="1"/>
  <c r="EC253" i="1"/>
  <c r="DW253" i="1"/>
  <c r="DY253" i="1" s="1"/>
  <c r="DV253" i="1"/>
  <c r="DU253" i="1"/>
  <c r="DM253" i="1"/>
  <c r="DL253" i="1"/>
  <c r="DK253" i="1"/>
  <c r="DJ253" i="1"/>
  <c r="DG253" i="1"/>
  <c r="DF253" i="1"/>
  <c r="DE253" i="1"/>
  <c r="CZ253" i="1"/>
  <c r="DB253" i="1" s="1"/>
  <c r="CY253" i="1"/>
  <c r="CX253" i="1"/>
  <c r="CW253" i="1"/>
  <c r="DC253" i="1" s="1"/>
  <c r="CN253" i="1"/>
  <c r="CV253" i="1" s="1"/>
  <c r="CM253" i="1"/>
  <c r="CL253" i="1"/>
  <c r="CK253" i="1"/>
  <c r="CJ253" i="1"/>
  <c r="CI253" i="1"/>
  <c r="CH253" i="1"/>
  <c r="CG253" i="1"/>
  <c r="CF253" i="1"/>
  <c r="BV253" i="1"/>
  <c r="BU253" i="1"/>
  <c r="BT253" i="1"/>
  <c r="BR253" i="1"/>
  <c r="BQ253" i="1"/>
  <c r="BP253" i="1"/>
  <c r="BN253" i="1"/>
  <c r="BM253" i="1"/>
  <c r="BL253" i="1"/>
  <c r="BH253" i="1"/>
  <c r="BE253" i="1"/>
  <c r="AY253" i="1"/>
  <c r="EX253" i="1" s="1"/>
  <c r="AU253" i="1"/>
  <c r="AS253" i="1"/>
  <c r="AP253" i="1"/>
  <c r="AO253" i="1"/>
  <c r="AN253" i="1"/>
  <c r="AL253" i="1"/>
  <c r="AJ253" i="1"/>
  <c r="AG253" i="1"/>
  <c r="AE253" i="1"/>
  <c r="AB253" i="1"/>
  <c r="Z253" i="1"/>
  <c r="X253" i="1"/>
  <c r="R253" i="1"/>
  <c r="CP253" i="1" s="1"/>
  <c r="N253" i="1"/>
  <c r="CR253" i="1" s="1"/>
  <c r="FK252" i="1"/>
  <c r="FJ252" i="1"/>
  <c r="EU252" i="1"/>
  <c r="ES252" i="1"/>
  <c r="EO252" i="1"/>
  <c r="EN252" i="1"/>
  <c r="EJ252" i="1"/>
  <c r="EG252" i="1"/>
  <c r="DX252" i="1"/>
  <c r="BH252" i="1"/>
  <c r="BE252" i="1"/>
  <c r="BA252" i="1"/>
  <c r="AZ252" i="1"/>
  <c r="ED252" i="1" s="1"/>
  <c r="AU252" i="1"/>
  <c r="AS252" i="1"/>
  <c r="AG252" i="1"/>
  <c r="AE252" i="1"/>
  <c r="FK251" i="1"/>
  <c r="FJ251" i="1"/>
  <c r="EU251" i="1"/>
  <c r="ES251" i="1"/>
  <c r="EO251" i="1"/>
  <c r="EN251" i="1"/>
  <c r="EJ251" i="1"/>
  <c r="EG251" i="1"/>
  <c r="DX251" i="1"/>
  <c r="BH251" i="1"/>
  <c r="BE251" i="1"/>
  <c r="BB251" i="1"/>
  <c r="BA251" i="1"/>
  <c r="AZ251" i="1"/>
  <c r="EC251" i="1" s="1"/>
  <c r="AU251" i="1"/>
  <c r="AS251" i="1"/>
  <c r="AG251" i="1"/>
  <c r="AE251" i="1"/>
  <c r="FK250" i="1"/>
  <c r="FJ250" i="1"/>
  <c r="EU250" i="1"/>
  <c r="ES250" i="1"/>
  <c r="EO250" i="1"/>
  <c r="EQ250" i="1" s="1"/>
  <c r="EN250" i="1"/>
  <c r="EJ250" i="1"/>
  <c r="EG250" i="1"/>
  <c r="ED250" i="1"/>
  <c r="EC250" i="1"/>
  <c r="DW250" i="1"/>
  <c r="DY250" i="1" s="1"/>
  <c r="DV250" i="1"/>
  <c r="DU250" i="1"/>
  <c r="BH250" i="1"/>
  <c r="BE250" i="1"/>
  <c r="AY250" i="1"/>
  <c r="AU250" i="1"/>
  <c r="AG250" i="1"/>
  <c r="FK249" i="1"/>
  <c r="FJ249" i="1"/>
  <c r="EU249" i="1"/>
  <c r="ES249" i="1"/>
  <c r="EO249" i="1"/>
  <c r="EN249" i="1"/>
  <c r="EJ249" i="1"/>
  <c r="EG249" i="1"/>
  <c r="DX249" i="1"/>
  <c r="BI249" i="1"/>
  <c r="BH249" i="1"/>
  <c r="BE249" i="1"/>
  <c r="BB249" i="1"/>
  <c r="BA249" i="1"/>
  <c r="AZ249" i="1"/>
  <c r="ED249" i="1" s="1"/>
  <c r="AU249" i="1"/>
  <c r="AS249" i="1"/>
  <c r="AG249" i="1"/>
  <c r="AE249" i="1"/>
  <c r="FK248" i="1"/>
  <c r="FJ248" i="1"/>
  <c r="EU248" i="1"/>
  <c r="ES248" i="1"/>
  <c r="EO248" i="1"/>
  <c r="EQ248" i="1" s="1"/>
  <c r="EN248" i="1"/>
  <c r="EJ248" i="1"/>
  <c r="EG248" i="1"/>
  <c r="ED248" i="1"/>
  <c r="EC248" i="1"/>
  <c r="DW248" i="1"/>
  <c r="DY248" i="1" s="1"/>
  <c r="DV248" i="1"/>
  <c r="DU248" i="1"/>
  <c r="BH248" i="1"/>
  <c r="BE248" i="1"/>
  <c r="AY248" i="1"/>
  <c r="EX248" i="1" s="1"/>
  <c r="AU248" i="1"/>
  <c r="AG248" i="1"/>
  <c r="FR247" i="1"/>
  <c r="FO247" i="1"/>
  <c r="EU247" i="1"/>
  <c r="EJ247" i="1"/>
  <c r="EG247" i="1"/>
  <c r="DX247" i="1"/>
  <c r="DU247" i="1"/>
  <c r="DM247" i="1"/>
  <c r="DL247" i="1"/>
  <c r="DK247" i="1"/>
  <c r="DJ247" i="1"/>
  <c r="DG247" i="1"/>
  <c r="DF247" i="1"/>
  <c r="DE247" i="1"/>
  <c r="CU247" i="1"/>
  <c r="CT247" i="1"/>
  <c r="CS247" i="1"/>
  <c r="CR247" i="1"/>
  <c r="CQ247" i="1"/>
  <c r="CP247" i="1"/>
  <c r="CO247" i="1"/>
  <c r="CN247" i="1"/>
  <c r="CV247" i="1" s="1"/>
  <c r="CM247" i="1"/>
  <c r="CL247" i="1"/>
  <c r="CK247" i="1"/>
  <c r="CJ247" i="1"/>
  <c r="CI247" i="1"/>
  <c r="CH247" i="1"/>
  <c r="CG247" i="1"/>
  <c r="CF247" i="1"/>
  <c r="CE247" i="1"/>
  <c r="CD247" i="1"/>
  <c r="BZ247" i="1"/>
  <c r="BV247" i="1"/>
  <c r="BU247" i="1"/>
  <c r="BT247" i="1"/>
  <c r="BR247" i="1"/>
  <c r="BQ247" i="1"/>
  <c r="BP247" i="1"/>
  <c r="BN247" i="1"/>
  <c r="BM247" i="1"/>
  <c r="BL247" i="1"/>
  <c r="BH247" i="1"/>
  <c r="BE247" i="1"/>
  <c r="AY247" i="1"/>
  <c r="EX247" i="1" s="1"/>
  <c r="AU247" i="1"/>
  <c r="AS247" i="1"/>
  <c r="AP247" i="1"/>
  <c r="AO247" i="1"/>
  <c r="AN247" i="1"/>
  <c r="AL247" i="1"/>
  <c r="AJ247" i="1"/>
  <c r="AG247" i="1"/>
  <c r="AE247" i="1"/>
  <c r="AB247" i="1"/>
  <c r="Z247" i="1"/>
  <c r="X247" i="1"/>
  <c r="FK241" i="1"/>
  <c r="FJ241" i="1"/>
  <c r="EU241" i="1"/>
  <c r="ES241" i="1"/>
  <c r="EO241" i="1"/>
  <c r="EQ241" i="1" s="1"/>
  <c r="EN241" i="1"/>
  <c r="EJ241" i="1"/>
  <c r="EG241" i="1"/>
  <c r="DM241" i="1"/>
  <c r="DG241" i="1"/>
  <c r="DF241" i="1"/>
  <c r="DE241" i="1"/>
  <c r="CZ241" i="1"/>
  <c r="CY241" i="1"/>
  <c r="CC241" i="1"/>
  <c r="CB241" i="1"/>
  <c r="CR241" i="1" s="1"/>
  <c r="BY241" i="1"/>
  <c r="BX241" i="1"/>
  <c r="CQ241" i="1" s="1"/>
  <c r="BV241" i="1"/>
  <c r="CG241" i="1" s="1"/>
  <c r="BU241" i="1"/>
  <c r="BT241" i="1"/>
  <c r="CJ241" i="1" s="1"/>
  <c r="BR241" i="1"/>
  <c r="CF241" i="1" s="1"/>
  <c r="BQ241" i="1"/>
  <c r="BP241" i="1"/>
  <c r="CI241" i="1" s="1"/>
  <c r="BN241" i="1"/>
  <c r="BM241" i="1"/>
  <c r="BL241" i="1"/>
  <c r="CH241" i="1" s="1"/>
  <c r="BH241" i="1"/>
  <c r="BE241" i="1"/>
  <c r="BB241" i="1"/>
  <c r="AZ241" i="1"/>
  <c r="ED241" i="1" s="1"/>
  <c r="AU241" i="1"/>
  <c r="AS241" i="1"/>
  <c r="AP241" i="1"/>
  <c r="AO241" i="1"/>
  <c r="AN241" i="1"/>
  <c r="AL241" i="1"/>
  <c r="AJ241" i="1"/>
  <c r="AG241" i="1"/>
  <c r="AE241" i="1"/>
  <c r="AB241" i="1"/>
  <c r="Z241" i="1"/>
  <c r="X241" i="1"/>
  <c r="R241" i="1"/>
  <c r="L241" i="1"/>
  <c r="K241" i="1"/>
  <c r="J241" i="1"/>
  <c r="FK240" i="1"/>
  <c r="FJ240" i="1"/>
  <c r="EU240" i="1"/>
  <c r="ES240" i="1"/>
  <c r="EO240" i="1"/>
  <c r="EQ240" i="1" s="1"/>
  <c r="EN240" i="1"/>
  <c r="EJ240" i="1"/>
  <c r="EG240" i="1"/>
  <c r="ED240" i="1"/>
  <c r="EC240" i="1"/>
  <c r="DW240" i="1"/>
  <c r="DY240" i="1" s="1"/>
  <c r="DV240" i="1"/>
  <c r="DU240" i="1"/>
  <c r="DM240" i="1"/>
  <c r="DL240" i="1"/>
  <c r="DK240" i="1"/>
  <c r="DJ240" i="1"/>
  <c r="DG240" i="1"/>
  <c r="DF240" i="1"/>
  <c r="DE240" i="1"/>
  <c r="CZ240" i="1"/>
  <c r="DB240" i="1" s="1"/>
  <c r="CY240" i="1"/>
  <c r="CX240" i="1"/>
  <c r="DA240" i="1" s="1"/>
  <c r="CW240" i="1"/>
  <c r="DC240" i="1" s="1"/>
  <c r="CN240" i="1"/>
  <c r="CV240" i="1" s="1"/>
  <c r="CM240" i="1"/>
  <c r="CL240" i="1"/>
  <c r="CK240" i="1"/>
  <c r="CJ240" i="1"/>
  <c r="CI240" i="1"/>
  <c r="CH240" i="1"/>
  <c r="CG240" i="1"/>
  <c r="CF240" i="1"/>
  <c r="BV240" i="1"/>
  <c r="BU240" i="1"/>
  <c r="BT240" i="1"/>
  <c r="BR240" i="1"/>
  <c r="BQ240" i="1"/>
  <c r="BP240" i="1"/>
  <c r="BN240" i="1"/>
  <c r="BM240" i="1"/>
  <c r="BL240" i="1"/>
  <c r="BH240" i="1"/>
  <c r="BE240" i="1"/>
  <c r="AY240" i="1"/>
  <c r="EY240" i="1" s="1"/>
  <c r="AU240" i="1"/>
  <c r="AS240" i="1"/>
  <c r="AP240" i="1"/>
  <c r="AO240" i="1"/>
  <c r="AN240" i="1"/>
  <c r="AL240" i="1"/>
  <c r="AJ240" i="1"/>
  <c r="AG240" i="1"/>
  <c r="AE240" i="1"/>
  <c r="AB240" i="1"/>
  <c r="Z240" i="1"/>
  <c r="X240" i="1"/>
  <c r="R240" i="1"/>
  <c r="N240" i="1"/>
  <c r="CQ240" i="1" s="1"/>
  <c r="FK239" i="1"/>
  <c r="FJ239" i="1"/>
  <c r="EU239" i="1"/>
  <c r="ES239" i="1"/>
  <c r="EO239" i="1"/>
  <c r="EQ239" i="1" s="1"/>
  <c r="EN239" i="1"/>
  <c r="EJ239" i="1"/>
  <c r="EG239" i="1"/>
  <c r="DM239" i="1"/>
  <c r="DG239" i="1"/>
  <c r="DF239" i="1"/>
  <c r="DE239" i="1"/>
  <c r="CZ239" i="1"/>
  <c r="DB239" i="1" s="1"/>
  <c r="CY239" i="1"/>
  <c r="CX239" i="1"/>
  <c r="DD239" i="1" s="1"/>
  <c r="CW239" i="1"/>
  <c r="DC239" i="1" s="1"/>
  <c r="BH239" i="1"/>
  <c r="BE239" i="1"/>
  <c r="BA239" i="1"/>
  <c r="AZ239" i="1"/>
  <c r="ED239" i="1" s="1"/>
  <c r="AU239" i="1"/>
  <c r="AS239" i="1"/>
  <c r="AP239" i="1"/>
  <c r="AO239" i="1"/>
  <c r="AN239" i="1"/>
  <c r="AL239" i="1"/>
  <c r="AJ239" i="1"/>
  <c r="AG239" i="1"/>
  <c r="AE239" i="1"/>
  <c r="AB239" i="1"/>
  <c r="Z239" i="1"/>
  <c r="X239" i="1"/>
  <c r="M239" i="1"/>
  <c r="I239" i="1"/>
  <c r="L239" i="1" s="1"/>
  <c r="DL239" i="1" s="1"/>
  <c r="E239" i="1"/>
  <c r="CJ239" i="1" s="1"/>
  <c r="D239" i="1"/>
  <c r="FK238" i="1"/>
  <c r="FJ238" i="1"/>
  <c r="EU238" i="1"/>
  <c r="ES238" i="1"/>
  <c r="EO238" i="1"/>
  <c r="EQ238" i="1" s="1"/>
  <c r="EN238" i="1"/>
  <c r="EJ238" i="1"/>
  <c r="EG238" i="1"/>
  <c r="ED238" i="1"/>
  <c r="EC238" i="1"/>
  <c r="DW238" i="1"/>
  <c r="DY238" i="1" s="1"/>
  <c r="DV238" i="1"/>
  <c r="DU238" i="1"/>
  <c r="DM238" i="1"/>
  <c r="DL238" i="1"/>
  <c r="DK238" i="1"/>
  <c r="DJ238" i="1"/>
  <c r="DG238" i="1"/>
  <c r="DF238" i="1"/>
  <c r="DE238" i="1"/>
  <c r="CZ238" i="1"/>
  <c r="DB238" i="1" s="1"/>
  <c r="CY238" i="1"/>
  <c r="CX238" i="1"/>
  <c r="DA238" i="1" s="1"/>
  <c r="CW238" i="1"/>
  <c r="DC238" i="1" s="1"/>
  <c r="CN238" i="1"/>
  <c r="CV238" i="1" s="1"/>
  <c r="CM238" i="1"/>
  <c r="CL238" i="1"/>
  <c r="CK238" i="1"/>
  <c r="CJ238" i="1"/>
  <c r="CI238" i="1"/>
  <c r="CH238" i="1"/>
  <c r="CG238" i="1"/>
  <c r="CF238" i="1"/>
  <c r="BV238" i="1"/>
  <c r="BU238" i="1"/>
  <c r="BT238" i="1"/>
  <c r="BR238" i="1"/>
  <c r="BQ238" i="1"/>
  <c r="BP238" i="1"/>
  <c r="BN238" i="1"/>
  <c r="BM238" i="1"/>
  <c r="BL238" i="1"/>
  <c r="BH238" i="1"/>
  <c r="BE238" i="1"/>
  <c r="AY238" i="1"/>
  <c r="EY238" i="1" s="1"/>
  <c r="AU238" i="1"/>
  <c r="AS238" i="1"/>
  <c r="AP238" i="1"/>
  <c r="AO238" i="1"/>
  <c r="AN238" i="1"/>
  <c r="AL238" i="1"/>
  <c r="AJ238" i="1"/>
  <c r="AG238" i="1"/>
  <c r="AE238" i="1"/>
  <c r="AB238" i="1"/>
  <c r="Z238" i="1"/>
  <c r="X238" i="1"/>
  <c r="R238" i="1"/>
  <c r="CO238" i="1" s="1"/>
  <c r="N238" i="1"/>
  <c r="CQ238" i="1" s="1"/>
  <c r="FK237" i="1"/>
  <c r="FJ237" i="1"/>
  <c r="EU237" i="1"/>
  <c r="ES237" i="1"/>
  <c r="EO237" i="1"/>
  <c r="EN237" i="1"/>
  <c r="EJ237" i="1"/>
  <c r="EG237" i="1"/>
  <c r="BH237" i="1"/>
  <c r="BE237" i="1"/>
  <c r="BB237" i="1"/>
  <c r="BA237" i="1"/>
  <c r="AZ237" i="1"/>
  <c r="EC237" i="1" s="1"/>
  <c r="AU237" i="1"/>
  <c r="AS237" i="1"/>
  <c r="AG237" i="1"/>
  <c r="AE237" i="1"/>
  <c r="FK236" i="1"/>
  <c r="FJ236" i="1"/>
  <c r="EU236" i="1"/>
  <c r="ES236" i="1"/>
  <c r="EO236" i="1"/>
  <c r="EN236" i="1"/>
  <c r="EJ236" i="1"/>
  <c r="EG236" i="1"/>
  <c r="BH236" i="1"/>
  <c r="BE236" i="1"/>
  <c r="BB236" i="1"/>
  <c r="BA236" i="1"/>
  <c r="AZ236" i="1"/>
  <c r="EC236" i="1" s="1"/>
  <c r="AU236" i="1"/>
  <c r="AS236" i="1"/>
  <c r="AG236" i="1"/>
  <c r="AE236" i="1"/>
  <c r="FK235" i="1"/>
  <c r="FJ235" i="1"/>
  <c r="EU235" i="1"/>
  <c r="ES235" i="1"/>
  <c r="EO235" i="1"/>
  <c r="EQ235" i="1" s="1"/>
  <c r="EN235" i="1"/>
  <c r="EJ235" i="1"/>
  <c r="EG235" i="1"/>
  <c r="ED235" i="1"/>
  <c r="EC235" i="1"/>
  <c r="DW235" i="1"/>
  <c r="DY235" i="1" s="1"/>
  <c r="DV235" i="1"/>
  <c r="DU235" i="1"/>
  <c r="BH235" i="1"/>
  <c r="BE235" i="1"/>
  <c r="AY235" i="1"/>
  <c r="EY235" i="1" s="1"/>
  <c r="AU235" i="1"/>
  <c r="AG235" i="1"/>
  <c r="FK234" i="1"/>
  <c r="FJ234" i="1"/>
  <c r="EU234" i="1"/>
  <c r="ES234" i="1"/>
  <c r="EO234" i="1"/>
  <c r="EN234" i="1"/>
  <c r="EJ234" i="1"/>
  <c r="EG234" i="1"/>
  <c r="ED234" i="1"/>
  <c r="EC234" i="1"/>
  <c r="DW234" i="1"/>
  <c r="DV234" i="1"/>
  <c r="DU234" i="1"/>
  <c r="BH234" i="1"/>
  <c r="BE234" i="1"/>
  <c r="AY234" i="1"/>
  <c r="EY234" i="1" s="1"/>
  <c r="AU234" i="1"/>
  <c r="AS234" i="1"/>
  <c r="AG234" i="1"/>
  <c r="AE234" i="1"/>
  <c r="FK233" i="1"/>
  <c r="FJ233" i="1"/>
  <c r="EU233" i="1"/>
  <c r="ES233" i="1"/>
  <c r="EO233" i="1"/>
  <c r="EN233" i="1"/>
  <c r="EJ233" i="1"/>
  <c r="EG233" i="1"/>
  <c r="DX233" i="1"/>
  <c r="BI233" i="1"/>
  <c r="BH233" i="1"/>
  <c r="BE233" i="1"/>
  <c r="BB233" i="1"/>
  <c r="BA233" i="1"/>
  <c r="AZ233" i="1"/>
  <c r="ED233" i="1" s="1"/>
  <c r="AU233" i="1"/>
  <c r="AS233" i="1"/>
  <c r="AG233" i="1"/>
  <c r="AE233" i="1"/>
  <c r="GJ232" i="1"/>
  <c r="GI232" i="1"/>
  <c r="GB232" i="1"/>
  <c r="GD232" i="1" s="1"/>
  <c r="GA232" i="1"/>
  <c r="FW232" i="1"/>
  <c r="FR232" i="1"/>
  <c r="GF232" i="1" s="1"/>
  <c r="FO232" i="1"/>
  <c r="FZ232" i="1" s="1"/>
  <c r="GC232" i="1" s="1"/>
  <c r="FK232" i="1"/>
  <c r="FJ232" i="1"/>
  <c r="EU232" i="1"/>
  <c r="ES232" i="1"/>
  <c r="EO232" i="1"/>
  <c r="EQ232" i="1" s="1"/>
  <c r="EN232" i="1"/>
  <c r="EJ232" i="1"/>
  <c r="EG232" i="1"/>
  <c r="ED232" i="1"/>
  <c r="EC232" i="1"/>
  <c r="DW232" i="1"/>
  <c r="DY232" i="1" s="1"/>
  <c r="DV232" i="1"/>
  <c r="DU232" i="1"/>
  <c r="BH232" i="1"/>
  <c r="BE232" i="1"/>
  <c r="AY232" i="1"/>
  <c r="EX232" i="1" s="1"/>
  <c r="AU232" i="1"/>
  <c r="AG232" i="1"/>
  <c r="GB231" i="1"/>
  <c r="GD231" i="1" s="1"/>
  <c r="GA231" i="1"/>
  <c r="FW231" i="1"/>
  <c r="FV231" i="1"/>
  <c r="FR231" i="1"/>
  <c r="FY231" i="1" s="1"/>
  <c r="FO231" i="1"/>
  <c r="FZ231" i="1" s="1"/>
  <c r="GC231" i="1" s="1"/>
  <c r="FK231" i="1"/>
  <c r="FJ231" i="1"/>
  <c r="EU231" i="1"/>
  <c r="EO231" i="1"/>
  <c r="EQ231" i="1" s="1"/>
  <c r="EN231" i="1"/>
  <c r="EJ231" i="1"/>
  <c r="EG231" i="1"/>
  <c r="ED231" i="1"/>
  <c r="EC231" i="1"/>
  <c r="DW231" i="1"/>
  <c r="DY231" i="1" s="1"/>
  <c r="DV231" i="1"/>
  <c r="DU231" i="1"/>
  <c r="DG231" i="1"/>
  <c r="DF231" i="1"/>
  <c r="DE231" i="1"/>
  <c r="CZ231" i="1"/>
  <c r="DB231" i="1" s="1"/>
  <c r="CY231" i="1"/>
  <c r="BH231" i="1"/>
  <c r="BE231" i="1"/>
  <c r="AY231" i="1"/>
  <c r="EX231" i="1" s="1"/>
  <c r="AU231" i="1"/>
  <c r="AP231" i="1"/>
  <c r="AO231" i="1"/>
  <c r="AN231" i="1"/>
  <c r="AL231" i="1"/>
  <c r="AJ231" i="1"/>
  <c r="AG231" i="1"/>
  <c r="AB231" i="1"/>
  <c r="Z231" i="1"/>
  <c r="X231" i="1"/>
  <c r="R231" i="1"/>
  <c r="CE231" i="1" s="1"/>
  <c r="N231" i="1"/>
  <c r="CR231" i="1" s="1"/>
  <c r="GB230" i="1"/>
  <c r="GD230" i="1" s="1"/>
  <c r="GA230" i="1"/>
  <c r="FW230" i="1"/>
  <c r="FV230" i="1"/>
  <c r="FR230" i="1"/>
  <c r="FY230" i="1" s="1"/>
  <c r="FO230" i="1"/>
  <c r="FZ230" i="1" s="1"/>
  <c r="GC230" i="1" s="1"/>
  <c r="FK230" i="1"/>
  <c r="FJ230" i="1"/>
  <c r="EU230" i="1"/>
  <c r="EO230" i="1"/>
  <c r="EQ230" i="1" s="1"/>
  <c r="EN230" i="1"/>
  <c r="EJ230" i="1"/>
  <c r="EG230" i="1"/>
  <c r="ED230" i="1"/>
  <c r="EC230" i="1"/>
  <c r="DW230" i="1"/>
  <c r="DY230" i="1" s="1"/>
  <c r="DV230" i="1"/>
  <c r="DU230" i="1"/>
  <c r="DG230" i="1"/>
  <c r="DF230" i="1"/>
  <c r="DE230" i="1"/>
  <c r="CZ230" i="1"/>
  <c r="DB230" i="1" s="1"/>
  <c r="CY230" i="1"/>
  <c r="BH230" i="1"/>
  <c r="BE230" i="1"/>
  <c r="AY230" i="1"/>
  <c r="EY230" i="1" s="1"/>
  <c r="AU230" i="1"/>
  <c r="AP230" i="1"/>
  <c r="AO230" i="1"/>
  <c r="AN230" i="1"/>
  <c r="AL230" i="1"/>
  <c r="AJ230" i="1"/>
  <c r="AG230" i="1"/>
  <c r="AB230" i="1"/>
  <c r="Z230" i="1"/>
  <c r="X230" i="1"/>
  <c r="R230" i="1"/>
  <c r="N230" i="1"/>
  <c r="CQ230" i="1" s="1"/>
  <c r="I230" i="1"/>
  <c r="I231" i="1" s="1"/>
  <c r="E230" i="1"/>
  <c r="E231" i="1" s="1"/>
  <c r="GB229" i="1"/>
  <c r="GD229" i="1" s="1"/>
  <c r="GA229" i="1"/>
  <c r="FW229" i="1"/>
  <c r="FV229" i="1"/>
  <c r="FR229" i="1"/>
  <c r="FY229" i="1" s="1"/>
  <c r="FO229" i="1"/>
  <c r="FZ229" i="1" s="1"/>
  <c r="GC229" i="1" s="1"/>
  <c r="FK229" i="1"/>
  <c r="FJ229" i="1"/>
  <c r="EU229" i="1"/>
  <c r="EO229" i="1"/>
  <c r="EQ229" i="1" s="1"/>
  <c r="EN229" i="1"/>
  <c r="EJ229" i="1"/>
  <c r="EG229" i="1"/>
  <c r="ED229" i="1"/>
  <c r="EC229" i="1"/>
  <c r="DW229" i="1"/>
  <c r="DY229" i="1" s="1"/>
  <c r="DV229" i="1"/>
  <c r="DU229" i="1"/>
  <c r="DG229" i="1"/>
  <c r="DF229" i="1"/>
  <c r="DE229" i="1"/>
  <c r="CZ229" i="1"/>
  <c r="CY229" i="1"/>
  <c r="CX229" i="1"/>
  <c r="DA229" i="1" s="1"/>
  <c r="CW229" i="1"/>
  <c r="BH229" i="1"/>
  <c r="BE229" i="1"/>
  <c r="AY229" i="1"/>
  <c r="EX229" i="1" s="1"/>
  <c r="AU229" i="1"/>
  <c r="AG229" i="1"/>
  <c r="R229" i="1"/>
  <c r="N229" i="1"/>
  <c r="CC229" i="1" s="1"/>
  <c r="GB228" i="1"/>
  <c r="GD228" i="1" s="1"/>
  <c r="GA228" i="1"/>
  <c r="FW228" i="1"/>
  <c r="FV228" i="1"/>
  <c r="FR228" i="1"/>
  <c r="FY228" i="1" s="1"/>
  <c r="FO228" i="1"/>
  <c r="FZ228" i="1" s="1"/>
  <c r="GC228" i="1" s="1"/>
  <c r="FK228" i="1"/>
  <c r="FJ228" i="1"/>
  <c r="EU228" i="1"/>
  <c r="EO228" i="1"/>
  <c r="EQ228" i="1" s="1"/>
  <c r="EN228" i="1"/>
  <c r="EJ228" i="1"/>
  <c r="EG228" i="1"/>
  <c r="ED228" i="1"/>
  <c r="EC228" i="1"/>
  <c r="DW228" i="1"/>
  <c r="DY228" i="1" s="1"/>
  <c r="DV228" i="1"/>
  <c r="DU228" i="1"/>
  <c r="DG228" i="1"/>
  <c r="DF228" i="1"/>
  <c r="DE228" i="1"/>
  <c r="CZ228" i="1"/>
  <c r="CY228" i="1"/>
  <c r="BH228" i="1"/>
  <c r="BE228" i="1"/>
  <c r="AY228" i="1"/>
  <c r="AU228" i="1"/>
  <c r="AP228" i="1"/>
  <c r="AO228" i="1"/>
  <c r="AN228" i="1"/>
  <c r="AL228" i="1"/>
  <c r="AJ228" i="1"/>
  <c r="AG228" i="1"/>
  <c r="AB228" i="1"/>
  <c r="Z228" i="1"/>
  <c r="X228" i="1"/>
  <c r="R228" i="1"/>
  <c r="N228" i="1"/>
  <c r="L228" i="1"/>
  <c r="K228" i="1"/>
  <c r="J228" i="1"/>
  <c r="I228" i="1"/>
  <c r="H228" i="1"/>
  <c r="G228" i="1"/>
  <c r="F228" i="1"/>
  <c r="E228" i="1"/>
  <c r="GB227" i="1"/>
  <c r="GD227" i="1" s="1"/>
  <c r="GA227" i="1"/>
  <c r="FW227" i="1"/>
  <c r="FV227" i="1"/>
  <c r="FR227" i="1"/>
  <c r="FY227" i="1" s="1"/>
  <c r="FO227" i="1"/>
  <c r="FZ227" i="1" s="1"/>
  <c r="GC227" i="1" s="1"/>
  <c r="FK227" i="1"/>
  <c r="FJ227" i="1"/>
  <c r="EU227" i="1"/>
  <c r="EO227" i="1"/>
  <c r="EQ227" i="1" s="1"/>
  <c r="EN227" i="1"/>
  <c r="EJ227" i="1"/>
  <c r="EG227" i="1"/>
  <c r="ED227" i="1"/>
  <c r="EC227" i="1"/>
  <c r="DW227" i="1"/>
  <c r="DY227" i="1" s="1"/>
  <c r="DV227" i="1"/>
  <c r="DU227" i="1"/>
  <c r="DG227" i="1"/>
  <c r="DF227" i="1"/>
  <c r="DE227" i="1"/>
  <c r="CZ227" i="1"/>
  <c r="CY227" i="1"/>
  <c r="BH227" i="1"/>
  <c r="BE227" i="1"/>
  <c r="AY227" i="1"/>
  <c r="EY227" i="1" s="1"/>
  <c r="AU227" i="1"/>
  <c r="AP227" i="1"/>
  <c r="AO227" i="1"/>
  <c r="AN227" i="1"/>
  <c r="AL227" i="1"/>
  <c r="AJ227" i="1"/>
  <c r="AG227" i="1"/>
  <c r="AB227" i="1"/>
  <c r="Z227" i="1"/>
  <c r="X227" i="1"/>
  <c r="R227" i="1"/>
  <c r="N227" i="1"/>
  <c r="BX227" i="1" s="1"/>
  <c r="L227" i="1"/>
  <c r="K227" i="1"/>
  <c r="J227" i="1"/>
  <c r="I227" i="1"/>
  <c r="H227" i="1"/>
  <c r="G227" i="1"/>
  <c r="F227" i="1"/>
  <c r="E227" i="1"/>
  <c r="GB226" i="1"/>
  <c r="GD226" i="1" s="1"/>
  <c r="GA226" i="1"/>
  <c r="FW226" i="1"/>
  <c r="FV226" i="1"/>
  <c r="FR226" i="1"/>
  <c r="FY226" i="1" s="1"/>
  <c r="FO226" i="1"/>
  <c r="FZ226" i="1" s="1"/>
  <c r="GC226" i="1" s="1"/>
  <c r="FK226" i="1"/>
  <c r="FJ226" i="1"/>
  <c r="EU226" i="1"/>
  <c r="EO226" i="1"/>
  <c r="EQ226" i="1" s="1"/>
  <c r="EN226" i="1"/>
  <c r="EJ226" i="1"/>
  <c r="EG226" i="1"/>
  <c r="ED226" i="1"/>
  <c r="EC226" i="1"/>
  <c r="DW226" i="1"/>
  <c r="DY226" i="1" s="1"/>
  <c r="DV226" i="1"/>
  <c r="DU226" i="1"/>
  <c r="DG226" i="1"/>
  <c r="DF226" i="1"/>
  <c r="DE226" i="1"/>
  <c r="CZ226" i="1"/>
  <c r="CY226" i="1"/>
  <c r="BH226" i="1"/>
  <c r="BE226" i="1"/>
  <c r="AY226" i="1"/>
  <c r="EX226" i="1" s="1"/>
  <c r="AU226" i="1"/>
  <c r="AP226" i="1"/>
  <c r="AO226" i="1"/>
  <c r="AN226" i="1"/>
  <c r="AL226" i="1"/>
  <c r="AJ226" i="1"/>
  <c r="AG226" i="1"/>
  <c r="AB226" i="1"/>
  <c r="Z226" i="1"/>
  <c r="X226" i="1"/>
  <c r="R226" i="1"/>
  <c r="N226" i="1"/>
  <c r="L226" i="1"/>
  <c r="K226" i="1"/>
  <c r="J226" i="1"/>
  <c r="I226" i="1"/>
  <c r="CF226" i="1" s="1"/>
  <c r="H226" i="1"/>
  <c r="G226" i="1"/>
  <c r="F226" i="1"/>
  <c r="E226" i="1"/>
  <c r="BQ226" i="1" s="1"/>
  <c r="GB225" i="1"/>
  <c r="GD225" i="1" s="1"/>
  <c r="GA225" i="1"/>
  <c r="FW225" i="1"/>
  <c r="FV225" i="1"/>
  <c r="FR225" i="1"/>
  <c r="FY225" i="1" s="1"/>
  <c r="FO225" i="1"/>
  <c r="FZ225" i="1" s="1"/>
  <c r="GC225" i="1" s="1"/>
  <c r="FK225" i="1"/>
  <c r="FJ225" i="1"/>
  <c r="EU225" i="1"/>
  <c r="EO225" i="1"/>
  <c r="EQ225" i="1" s="1"/>
  <c r="EN225" i="1"/>
  <c r="EJ225" i="1"/>
  <c r="EG225" i="1"/>
  <c r="ED225" i="1"/>
  <c r="EC225" i="1"/>
  <c r="DW225" i="1"/>
  <c r="DY225" i="1" s="1"/>
  <c r="DV225" i="1"/>
  <c r="DU225" i="1"/>
  <c r="DG225" i="1"/>
  <c r="DF225" i="1"/>
  <c r="DE225" i="1"/>
  <c r="CZ225" i="1"/>
  <c r="CY225" i="1"/>
  <c r="BH225" i="1"/>
  <c r="BE225" i="1"/>
  <c r="AY225" i="1"/>
  <c r="EY225" i="1" s="1"/>
  <c r="AU225" i="1"/>
  <c r="AP225" i="1"/>
  <c r="AO225" i="1"/>
  <c r="AN225" i="1"/>
  <c r="AL225" i="1"/>
  <c r="AJ225" i="1"/>
  <c r="AG225" i="1"/>
  <c r="AB225" i="1"/>
  <c r="Z225" i="1"/>
  <c r="X225" i="1"/>
  <c r="R225" i="1"/>
  <c r="N225" i="1"/>
  <c r="I225" i="1"/>
  <c r="E225" i="1"/>
  <c r="GB224" i="1"/>
  <c r="GD224" i="1" s="1"/>
  <c r="GA224" i="1"/>
  <c r="FW224" i="1"/>
  <c r="FV224" i="1"/>
  <c r="FR224" i="1"/>
  <c r="FY224" i="1" s="1"/>
  <c r="FO224" i="1"/>
  <c r="FZ224" i="1" s="1"/>
  <c r="GC224" i="1" s="1"/>
  <c r="FK224" i="1"/>
  <c r="FJ224" i="1"/>
  <c r="EU224" i="1"/>
  <c r="EO224" i="1"/>
  <c r="EQ224" i="1" s="1"/>
  <c r="EN224" i="1"/>
  <c r="EJ224" i="1"/>
  <c r="EG224" i="1"/>
  <c r="ED224" i="1"/>
  <c r="EC224" i="1"/>
  <c r="DW224" i="1"/>
  <c r="DY224" i="1" s="1"/>
  <c r="DV224" i="1"/>
  <c r="DU224" i="1"/>
  <c r="DG224" i="1"/>
  <c r="DF224" i="1"/>
  <c r="DE224" i="1"/>
  <c r="CZ224" i="1"/>
  <c r="CY224" i="1"/>
  <c r="BH224" i="1"/>
  <c r="BE224" i="1"/>
  <c r="AY224" i="1"/>
  <c r="EX224" i="1" s="1"/>
  <c r="AU224" i="1"/>
  <c r="AP224" i="1"/>
  <c r="AO224" i="1"/>
  <c r="AN224" i="1"/>
  <c r="AL224" i="1"/>
  <c r="AJ224" i="1"/>
  <c r="AG224" i="1"/>
  <c r="AB224" i="1"/>
  <c r="Z224" i="1"/>
  <c r="X224" i="1"/>
  <c r="R224" i="1"/>
  <c r="N224" i="1"/>
  <c r="I224" i="1"/>
  <c r="E224" i="1"/>
  <c r="BQ224" i="1" s="1"/>
  <c r="GB223" i="1"/>
  <c r="GD223" i="1" s="1"/>
  <c r="GA223" i="1"/>
  <c r="FW223" i="1"/>
  <c r="FV223" i="1"/>
  <c r="FR223" i="1"/>
  <c r="FY223" i="1" s="1"/>
  <c r="FO223" i="1"/>
  <c r="FZ223" i="1" s="1"/>
  <c r="GC223" i="1" s="1"/>
  <c r="FK223" i="1"/>
  <c r="FJ223" i="1"/>
  <c r="EU223" i="1"/>
  <c r="EO223" i="1"/>
  <c r="EQ223" i="1" s="1"/>
  <c r="EN223" i="1"/>
  <c r="EJ223" i="1"/>
  <c r="EG223" i="1"/>
  <c r="ED223" i="1"/>
  <c r="EC223" i="1"/>
  <c r="DW223" i="1"/>
  <c r="DY223" i="1" s="1"/>
  <c r="DV223" i="1"/>
  <c r="DU223" i="1"/>
  <c r="DG223" i="1"/>
  <c r="DF223" i="1"/>
  <c r="DE223" i="1"/>
  <c r="CZ223" i="1"/>
  <c r="CY223" i="1"/>
  <c r="BH223" i="1"/>
  <c r="BE223" i="1"/>
  <c r="AY223" i="1"/>
  <c r="EY223" i="1" s="1"/>
  <c r="AU223" i="1"/>
  <c r="AP223" i="1"/>
  <c r="AO223" i="1"/>
  <c r="AN223" i="1"/>
  <c r="AL223" i="1"/>
  <c r="AJ223" i="1"/>
  <c r="AG223" i="1"/>
  <c r="AB223" i="1"/>
  <c r="Z223" i="1"/>
  <c r="X223" i="1"/>
  <c r="R223" i="1"/>
  <c r="N223" i="1"/>
  <c r="BX223" i="1" s="1"/>
  <c r="I223" i="1"/>
  <c r="E223" i="1"/>
  <c r="GB222" i="1"/>
  <c r="GD222" i="1" s="1"/>
  <c r="GA222" i="1"/>
  <c r="FW222" i="1"/>
  <c r="FV222" i="1"/>
  <c r="FR222" i="1"/>
  <c r="FY222" i="1" s="1"/>
  <c r="FO222" i="1"/>
  <c r="FZ222" i="1" s="1"/>
  <c r="GC222" i="1" s="1"/>
  <c r="FK222" i="1"/>
  <c r="FJ222" i="1"/>
  <c r="EU222" i="1"/>
  <c r="EO222" i="1"/>
  <c r="EQ222" i="1" s="1"/>
  <c r="EN222" i="1"/>
  <c r="EJ222" i="1"/>
  <c r="EG222" i="1"/>
  <c r="ED222" i="1"/>
  <c r="EC222" i="1"/>
  <c r="DW222" i="1"/>
  <c r="DY222" i="1" s="1"/>
  <c r="DV222" i="1"/>
  <c r="DU222" i="1"/>
  <c r="DG222" i="1"/>
  <c r="DF222" i="1"/>
  <c r="DE222" i="1"/>
  <c r="CZ222" i="1"/>
  <c r="CY222" i="1"/>
  <c r="BH222" i="1"/>
  <c r="BE222" i="1"/>
  <c r="AY222" i="1"/>
  <c r="EX222" i="1" s="1"/>
  <c r="AU222" i="1"/>
  <c r="AP222" i="1"/>
  <c r="AO222" i="1"/>
  <c r="AN222" i="1"/>
  <c r="AL222" i="1"/>
  <c r="AJ222" i="1"/>
  <c r="AG222" i="1"/>
  <c r="AB222" i="1"/>
  <c r="Z222" i="1"/>
  <c r="X222" i="1"/>
  <c r="R222" i="1"/>
  <c r="N222" i="1"/>
  <c r="I222" i="1"/>
  <c r="L222" i="1" s="1"/>
  <c r="E222" i="1"/>
  <c r="GB221" i="1"/>
  <c r="GD221" i="1" s="1"/>
  <c r="GA221" i="1"/>
  <c r="FW221" i="1"/>
  <c r="FV221" i="1"/>
  <c r="FR221" i="1"/>
  <c r="FY221" i="1" s="1"/>
  <c r="FO221" i="1"/>
  <c r="FZ221" i="1" s="1"/>
  <c r="GC221" i="1" s="1"/>
  <c r="FK221" i="1"/>
  <c r="FJ221" i="1"/>
  <c r="EU221" i="1"/>
  <c r="EO221" i="1"/>
  <c r="EQ221" i="1" s="1"/>
  <c r="EN221" i="1"/>
  <c r="EJ221" i="1"/>
  <c r="EG221" i="1"/>
  <c r="ED221" i="1"/>
  <c r="EC221" i="1"/>
  <c r="DW221" i="1"/>
  <c r="DY221" i="1" s="1"/>
  <c r="DV221" i="1"/>
  <c r="DU221" i="1"/>
  <c r="DM221" i="1"/>
  <c r="DL221" i="1"/>
  <c r="DK221" i="1"/>
  <c r="DJ221" i="1"/>
  <c r="DG221" i="1"/>
  <c r="DF221" i="1"/>
  <c r="DE221" i="1"/>
  <c r="CZ221" i="1"/>
  <c r="DB221" i="1" s="1"/>
  <c r="CY221" i="1"/>
  <c r="CX221" i="1"/>
  <c r="DD221" i="1" s="1"/>
  <c r="CW221" i="1"/>
  <c r="DC221" i="1" s="1"/>
  <c r="CU221" i="1"/>
  <c r="CT221" i="1"/>
  <c r="CS221" i="1"/>
  <c r="CR221" i="1"/>
  <c r="CQ221" i="1"/>
  <c r="CP221" i="1"/>
  <c r="CO221" i="1"/>
  <c r="CN221" i="1"/>
  <c r="CV221" i="1" s="1"/>
  <c r="CM221" i="1"/>
  <c r="CL221" i="1"/>
  <c r="CK221" i="1"/>
  <c r="CJ221" i="1"/>
  <c r="CI221" i="1"/>
  <c r="CH221" i="1"/>
  <c r="CG221" i="1"/>
  <c r="CF221" i="1"/>
  <c r="CE221" i="1"/>
  <c r="CD221" i="1"/>
  <c r="CC221" i="1"/>
  <c r="CB221" i="1"/>
  <c r="BZ221" i="1"/>
  <c r="BY221" i="1"/>
  <c r="BX221" i="1"/>
  <c r="BV221" i="1"/>
  <c r="BU221" i="1"/>
  <c r="BT221" i="1"/>
  <c r="BR221" i="1"/>
  <c r="BQ221" i="1"/>
  <c r="BP221" i="1"/>
  <c r="BN221" i="1"/>
  <c r="BM221" i="1"/>
  <c r="BL221" i="1"/>
  <c r="BH221" i="1"/>
  <c r="BE221" i="1"/>
  <c r="AY221" i="1"/>
  <c r="EX221" i="1" s="1"/>
  <c r="AU221" i="1"/>
  <c r="AS221" i="1"/>
  <c r="AP221" i="1"/>
  <c r="AO221" i="1"/>
  <c r="AN221" i="1"/>
  <c r="AL221" i="1"/>
  <c r="AJ221" i="1"/>
  <c r="AG221" i="1"/>
  <c r="AE221" i="1"/>
  <c r="AB221" i="1"/>
  <c r="Z221" i="1"/>
  <c r="X221" i="1"/>
  <c r="FR220" i="1"/>
  <c r="FO220" i="1"/>
  <c r="EU220" i="1"/>
  <c r="EJ220" i="1"/>
  <c r="EG220" i="1"/>
  <c r="DX220" i="1"/>
  <c r="DU220" i="1"/>
  <c r="DM220" i="1"/>
  <c r="DL220" i="1"/>
  <c r="DK220" i="1"/>
  <c r="DJ220" i="1"/>
  <c r="DG220" i="1"/>
  <c r="DF220" i="1"/>
  <c r="DE220" i="1"/>
  <c r="CU220" i="1"/>
  <c r="CT220" i="1"/>
  <c r="CS220" i="1"/>
  <c r="CR220" i="1"/>
  <c r="CQ220" i="1"/>
  <c r="CP220" i="1"/>
  <c r="CO220" i="1"/>
  <c r="CN220" i="1"/>
  <c r="CV220" i="1" s="1"/>
  <c r="CM220" i="1"/>
  <c r="CL220" i="1"/>
  <c r="CK220" i="1"/>
  <c r="CJ220" i="1"/>
  <c r="CI220" i="1"/>
  <c r="CH220" i="1"/>
  <c r="CG220" i="1"/>
  <c r="CF220" i="1"/>
  <c r="CE220" i="1"/>
  <c r="CD220" i="1"/>
  <c r="BZ220" i="1"/>
  <c r="BV220" i="1"/>
  <c r="BU220" i="1"/>
  <c r="BT220" i="1"/>
  <c r="BR220" i="1"/>
  <c r="BQ220" i="1"/>
  <c r="BP220" i="1"/>
  <c r="BN220" i="1"/>
  <c r="BM220" i="1"/>
  <c r="BL220" i="1"/>
  <c r="BH220" i="1"/>
  <c r="BE220" i="1"/>
  <c r="AY220" i="1"/>
  <c r="AU220" i="1"/>
  <c r="AS220" i="1"/>
  <c r="AP220" i="1"/>
  <c r="AO220" i="1"/>
  <c r="AN220" i="1"/>
  <c r="AL220" i="1"/>
  <c r="AJ220" i="1"/>
  <c r="AG220" i="1"/>
  <c r="AE220" i="1"/>
  <c r="AB220" i="1"/>
  <c r="Z220" i="1"/>
  <c r="X220" i="1"/>
  <c r="FK215" i="1"/>
  <c r="FJ215" i="1"/>
  <c r="EU215" i="1"/>
  <c r="ES215" i="1"/>
  <c r="EO215" i="1"/>
  <c r="EN215" i="1"/>
  <c r="EJ215" i="1"/>
  <c r="EG215" i="1"/>
  <c r="BH215" i="1"/>
  <c r="BE215" i="1"/>
  <c r="BB215" i="1"/>
  <c r="BA215" i="1"/>
  <c r="AZ215" i="1"/>
  <c r="ED215" i="1" s="1"/>
  <c r="AU215" i="1"/>
  <c r="AS215" i="1"/>
  <c r="AG215" i="1"/>
  <c r="AE215" i="1"/>
  <c r="FK214" i="1"/>
  <c r="FJ214" i="1"/>
  <c r="EU214" i="1"/>
  <c r="ES214" i="1"/>
  <c r="EO214" i="1"/>
  <c r="EN214" i="1"/>
  <c r="EJ214" i="1"/>
  <c r="EG214" i="1"/>
  <c r="DS214" i="1"/>
  <c r="BH214" i="1"/>
  <c r="BE214" i="1"/>
  <c r="BB214" i="1"/>
  <c r="BA214" i="1"/>
  <c r="AZ214" i="1"/>
  <c r="EC214" i="1" s="1"/>
  <c r="AU214" i="1"/>
  <c r="AS214" i="1"/>
  <c r="AG214" i="1"/>
  <c r="AE214" i="1"/>
  <c r="FK213" i="1"/>
  <c r="FJ213" i="1"/>
  <c r="EU213" i="1"/>
  <c r="ES213" i="1"/>
  <c r="EO213" i="1"/>
  <c r="EQ213" i="1" s="1"/>
  <c r="EN213" i="1"/>
  <c r="EJ213" i="1"/>
  <c r="EG213" i="1"/>
  <c r="ED213" i="1"/>
  <c r="EC213" i="1"/>
  <c r="DW213" i="1"/>
  <c r="DY213" i="1" s="1"/>
  <c r="DV213" i="1"/>
  <c r="DU213" i="1"/>
  <c r="BH213" i="1"/>
  <c r="BE213" i="1"/>
  <c r="AY213" i="1"/>
  <c r="EY213" i="1" s="1"/>
  <c r="AU213" i="1"/>
  <c r="AG213" i="1"/>
  <c r="FK212" i="1"/>
  <c r="FJ212" i="1"/>
  <c r="EU212" i="1"/>
  <c r="ES212" i="1"/>
  <c r="EO212" i="1"/>
  <c r="EN212" i="1"/>
  <c r="EJ212" i="1"/>
  <c r="EG212" i="1"/>
  <c r="ED212" i="1"/>
  <c r="EC212" i="1"/>
  <c r="DW212" i="1"/>
  <c r="DV212" i="1"/>
  <c r="DU212" i="1"/>
  <c r="BH212" i="1"/>
  <c r="BE212" i="1"/>
  <c r="AY212" i="1"/>
  <c r="EY212" i="1" s="1"/>
  <c r="AU212" i="1"/>
  <c r="AS212" i="1"/>
  <c r="AG212" i="1"/>
  <c r="AE212" i="1"/>
  <c r="FK211" i="1"/>
  <c r="FJ211" i="1"/>
  <c r="EU211" i="1"/>
  <c r="ES211" i="1"/>
  <c r="EO211" i="1"/>
  <c r="EN211" i="1"/>
  <c r="EJ211" i="1"/>
  <c r="EG211" i="1"/>
  <c r="DX211" i="1"/>
  <c r="BI211" i="1"/>
  <c r="BH211" i="1"/>
  <c r="BE211" i="1"/>
  <c r="BB211" i="1"/>
  <c r="BA211" i="1"/>
  <c r="AZ211" i="1"/>
  <c r="ED211" i="1" s="1"/>
  <c r="AU211" i="1"/>
  <c r="AS211" i="1"/>
  <c r="AG211" i="1"/>
  <c r="AE211" i="1"/>
  <c r="HC210" i="1"/>
  <c r="GQ210" i="1"/>
  <c r="GJ210" i="1"/>
  <c r="GI210" i="1"/>
  <c r="GB210" i="1"/>
  <c r="GD210" i="1" s="1"/>
  <c r="GA210" i="1"/>
  <c r="FW210" i="1"/>
  <c r="FR210" i="1"/>
  <c r="GF210" i="1" s="1"/>
  <c r="FO210" i="1"/>
  <c r="FK210" i="1"/>
  <c r="FJ210" i="1"/>
  <c r="EU210" i="1"/>
  <c r="ES210" i="1"/>
  <c r="EO210" i="1"/>
  <c r="EQ210" i="1" s="1"/>
  <c r="EN210" i="1"/>
  <c r="EJ210" i="1"/>
  <c r="EG210" i="1"/>
  <c r="ED210" i="1"/>
  <c r="EC210" i="1"/>
  <c r="DW210" i="1"/>
  <c r="DY210" i="1" s="1"/>
  <c r="DV210" i="1"/>
  <c r="DU210" i="1"/>
  <c r="BH210" i="1"/>
  <c r="BE210" i="1"/>
  <c r="AY210" i="1"/>
  <c r="EY210" i="1" s="1"/>
  <c r="AU210" i="1"/>
  <c r="AG210" i="1"/>
  <c r="FR209" i="1"/>
  <c r="FO209" i="1"/>
  <c r="EU209" i="1"/>
  <c r="EJ209" i="1"/>
  <c r="EG209" i="1"/>
  <c r="DX209" i="1"/>
  <c r="DU209" i="1"/>
  <c r="DM209" i="1"/>
  <c r="DL209" i="1"/>
  <c r="DK209" i="1"/>
  <c r="DJ209" i="1"/>
  <c r="DG209" i="1"/>
  <c r="DF209" i="1"/>
  <c r="DE209" i="1"/>
  <c r="CU209" i="1"/>
  <c r="CT209" i="1"/>
  <c r="CS209" i="1"/>
  <c r="CR209" i="1"/>
  <c r="CQ209" i="1"/>
  <c r="CP209" i="1"/>
  <c r="CO209" i="1"/>
  <c r="CN209" i="1"/>
  <c r="CV209" i="1" s="1"/>
  <c r="CM209" i="1"/>
  <c r="CL209" i="1"/>
  <c r="CK209" i="1"/>
  <c r="CJ209" i="1"/>
  <c r="CI209" i="1"/>
  <c r="CH209" i="1"/>
  <c r="CG209" i="1"/>
  <c r="CF209" i="1"/>
  <c r="CE209" i="1"/>
  <c r="CD209" i="1"/>
  <c r="BZ209" i="1"/>
  <c r="BV209" i="1"/>
  <c r="BU209" i="1"/>
  <c r="BT209" i="1"/>
  <c r="BR209" i="1"/>
  <c r="BQ209" i="1"/>
  <c r="BP209" i="1"/>
  <c r="BN209" i="1"/>
  <c r="BM209" i="1"/>
  <c r="BL209" i="1"/>
  <c r="BH209" i="1"/>
  <c r="BE209" i="1"/>
  <c r="AY209" i="1"/>
  <c r="EX209" i="1" s="1"/>
  <c r="AU209" i="1"/>
  <c r="AS209" i="1"/>
  <c r="AP209" i="1"/>
  <c r="AO209" i="1"/>
  <c r="AN209" i="1"/>
  <c r="AL209" i="1"/>
  <c r="AJ209" i="1"/>
  <c r="AG209" i="1"/>
  <c r="AE209" i="1"/>
  <c r="AB209" i="1"/>
  <c r="Z209" i="1"/>
  <c r="X209" i="1"/>
  <c r="FK206" i="1"/>
  <c r="FJ206" i="1"/>
  <c r="EU206" i="1"/>
  <c r="ES206" i="1"/>
  <c r="EO206" i="1"/>
  <c r="EQ206" i="1" s="1"/>
  <c r="EN206" i="1"/>
  <c r="EJ206" i="1"/>
  <c r="EG206" i="1"/>
  <c r="ED206" i="1"/>
  <c r="EC206" i="1"/>
  <c r="DW206" i="1"/>
  <c r="DY206" i="1" s="1"/>
  <c r="DV206" i="1"/>
  <c r="DU206" i="1"/>
  <c r="DM206" i="1"/>
  <c r="DG206" i="1"/>
  <c r="DF206" i="1"/>
  <c r="DE206" i="1"/>
  <c r="CZ206" i="1"/>
  <c r="CY206" i="1"/>
  <c r="BU206" i="1"/>
  <c r="BT206" i="1"/>
  <c r="BQ206" i="1"/>
  <c r="BP206" i="1"/>
  <c r="CI206" i="1" s="1"/>
  <c r="BM206" i="1"/>
  <c r="BL206" i="1"/>
  <c r="BH206" i="1"/>
  <c r="BE206" i="1"/>
  <c r="AY206" i="1"/>
  <c r="EY206" i="1" s="1"/>
  <c r="AU206" i="1"/>
  <c r="AS206" i="1"/>
  <c r="AG206" i="1"/>
  <c r="AE206" i="1"/>
  <c r="N206" i="1"/>
  <c r="I206" i="1"/>
  <c r="D206" i="1" s="1"/>
  <c r="FK205" i="1"/>
  <c r="FJ205" i="1"/>
  <c r="EU205" i="1"/>
  <c r="ES205" i="1"/>
  <c r="EO205" i="1"/>
  <c r="EQ205" i="1" s="1"/>
  <c r="EN205" i="1"/>
  <c r="EJ205" i="1"/>
  <c r="EG205" i="1"/>
  <c r="ED205" i="1"/>
  <c r="EC205" i="1"/>
  <c r="DW205" i="1"/>
  <c r="DY205" i="1" s="1"/>
  <c r="DV205" i="1"/>
  <c r="DU205" i="1"/>
  <c r="DM205" i="1"/>
  <c r="DL205" i="1"/>
  <c r="DK205" i="1"/>
  <c r="DJ205" i="1"/>
  <c r="DG205" i="1"/>
  <c r="DF205" i="1"/>
  <c r="DE205" i="1"/>
  <c r="CZ205" i="1"/>
  <c r="DB205" i="1" s="1"/>
  <c r="CY205" i="1"/>
  <c r="CX205" i="1"/>
  <c r="CW205" i="1"/>
  <c r="DC205" i="1" s="1"/>
  <c r="CN205" i="1"/>
  <c r="CV205" i="1" s="1"/>
  <c r="CM205" i="1"/>
  <c r="CL205" i="1"/>
  <c r="CK205" i="1"/>
  <c r="CJ205" i="1"/>
  <c r="CI205" i="1"/>
  <c r="CH205" i="1"/>
  <c r="CG205" i="1"/>
  <c r="CF205" i="1"/>
  <c r="BV205" i="1"/>
  <c r="BU205" i="1"/>
  <c r="BT205" i="1"/>
  <c r="BR205" i="1"/>
  <c r="BQ205" i="1"/>
  <c r="BP205" i="1"/>
  <c r="BN205" i="1"/>
  <c r="BM205" i="1"/>
  <c r="BL205" i="1"/>
  <c r="BH205" i="1"/>
  <c r="BE205" i="1"/>
  <c r="AY205" i="1"/>
  <c r="EX205" i="1" s="1"/>
  <c r="AU205" i="1"/>
  <c r="AS205" i="1"/>
  <c r="AG205" i="1"/>
  <c r="AE205" i="1"/>
  <c r="R205" i="1"/>
  <c r="CP205" i="1" s="1"/>
  <c r="N205" i="1"/>
  <c r="CR205" i="1" s="1"/>
  <c r="FK199" i="1"/>
  <c r="FJ199" i="1"/>
  <c r="EU199" i="1"/>
  <c r="ES199" i="1"/>
  <c r="EO199" i="1"/>
  <c r="EQ199" i="1" s="1"/>
  <c r="EN199" i="1"/>
  <c r="EJ199" i="1"/>
  <c r="EG199" i="1"/>
  <c r="DM199" i="1"/>
  <c r="DL199" i="1"/>
  <c r="DK199" i="1"/>
  <c r="DJ199" i="1"/>
  <c r="DG199" i="1"/>
  <c r="DF199" i="1"/>
  <c r="DE199" i="1"/>
  <c r="CZ199" i="1"/>
  <c r="DB199" i="1" s="1"/>
  <c r="CY199" i="1"/>
  <c r="CX199" i="1"/>
  <c r="CW199" i="1"/>
  <c r="DC199" i="1" s="1"/>
  <c r="CN199" i="1"/>
  <c r="CV199" i="1" s="1"/>
  <c r="CM199" i="1"/>
  <c r="CL199" i="1"/>
  <c r="CK199" i="1"/>
  <c r="CJ199" i="1"/>
  <c r="CI199" i="1"/>
  <c r="CH199" i="1"/>
  <c r="CG199" i="1"/>
  <c r="CF199" i="1"/>
  <c r="BV199" i="1"/>
  <c r="BU199" i="1"/>
  <c r="BT199" i="1"/>
  <c r="BR199" i="1"/>
  <c r="BQ199" i="1"/>
  <c r="BP199" i="1"/>
  <c r="BN199" i="1"/>
  <c r="BM199" i="1"/>
  <c r="BL199" i="1"/>
  <c r="BH199" i="1"/>
  <c r="BE199" i="1"/>
  <c r="BB199" i="1"/>
  <c r="BA199" i="1"/>
  <c r="AZ199" i="1"/>
  <c r="ED199" i="1" s="1"/>
  <c r="AU199" i="1"/>
  <c r="AS199" i="1"/>
  <c r="AP199" i="1"/>
  <c r="AO199" i="1"/>
  <c r="AN199" i="1"/>
  <c r="AL199" i="1"/>
  <c r="AJ199" i="1"/>
  <c r="AG199" i="1"/>
  <c r="AE199" i="1"/>
  <c r="AB199" i="1"/>
  <c r="Z199" i="1"/>
  <c r="X199" i="1"/>
  <c r="R199" i="1"/>
  <c r="CP199" i="1" s="1"/>
  <c r="N199" i="1"/>
  <c r="FK198" i="1"/>
  <c r="FJ198" i="1"/>
  <c r="EU198" i="1"/>
  <c r="ES198" i="1"/>
  <c r="EO198" i="1"/>
  <c r="EQ198" i="1" s="1"/>
  <c r="EN198" i="1"/>
  <c r="EJ198" i="1"/>
  <c r="EG198" i="1"/>
  <c r="ED198" i="1"/>
  <c r="EC198" i="1"/>
  <c r="DW198" i="1"/>
  <c r="DY198" i="1" s="1"/>
  <c r="DV198" i="1"/>
  <c r="DU198" i="1"/>
  <c r="DM198" i="1"/>
  <c r="DL198" i="1"/>
  <c r="DK198" i="1"/>
  <c r="DJ198" i="1"/>
  <c r="DG198" i="1"/>
  <c r="DF198" i="1"/>
  <c r="DE198" i="1"/>
  <c r="CZ198" i="1"/>
  <c r="DB198" i="1" s="1"/>
  <c r="CY198" i="1"/>
  <c r="CX198" i="1"/>
  <c r="CW198" i="1"/>
  <c r="DC198" i="1" s="1"/>
  <c r="CN198" i="1"/>
  <c r="CV198" i="1" s="1"/>
  <c r="CM198" i="1"/>
  <c r="CL198" i="1"/>
  <c r="CK198" i="1"/>
  <c r="CJ198" i="1"/>
  <c r="CI198" i="1"/>
  <c r="CH198" i="1"/>
  <c r="CG198" i="1"/>
  <c r="CF198" i="1"/>
  <c r="BV198" i="1"/>
  <c r="BU198" i="1"/>
  <c r="BT198" i="1"/>
  <c r="BR198" i="1"/>
  <c r="BQ198" i="1"/>
  <c r="BP198" i="1"/>
  <c r="BN198" i="1"/>
  <c r="BM198" i="1"/>
  <c r="BL198" i="1"/>
  <c r="BH198" i="1"/>
  <c r="BE198" i="1"/>
  <c r="AY198" i="1"/>
  <c r="AU198" i="1"/>
  <c r="AS198" i="1"/>
  <c r="AP198" i="1"/>
  <c r="AO198" i="1"/>
  <c r="AN198" i="1"/>
  <c r="AL198" i="1"/>
  <c r="AJ198" i="1"/>
  <c r="AG198" i="1"/>
  <c r="AE198" i="1"/>
  <c r="AB198" i="1"/>
  <c r="Z198" i="1"/>
  <c r="X198" i="1"/>
  <c r="R198" i="1"/>
  <c r="CP198" i="1" s="1"/>
  <c r="N198" i="1"/>
  <c r="CR198" i="1" s="1"/>
  <c r="FK197" i="1"/>
  <c r="FJ197" i="1"/>
  <c r="EU197" i="1"/>
  <c r="ES197" i="1"/>
  <c r="EO197" i="1"/>
  <c r="EQ197" i="1" s="1"/>
  <c r="EN197" i="1"/>
  <c r="EJ197" i="1"/>
  <c r="EG197" i="1"/>
  <c r="ED197" i="1"/>
  <c r="EC197" i="1"/>
  <c r="DW197" i="1"/>
  <c r="DY197" i="1" s="1"/>
  <c r="DV197" i="1"/>
  <c r="DU197" i="1"/>
  <c r="DM197" i="1"/>
  <c r="DG197" i="1"/>
  <c r="DF197" i="1"/>
  <c r="DE197" i="1"/>
  <c r="CZ197" i="1"/>
  <c r="DB197" i="1" s="1"/>
  <c r="CY197" i="1"/>
  <c r="CX197" i="1"/>
  <c r="DD197" i="1" s="1"/>
  <c r="CW197" i="1"/>
  <c r="DC197" i="1" s="1"/>
  <c r="CJ197" i="1"/>
  <c r="CI197" i="1"/>
  <c r="CH197" i="1"/>
  <c r="BU197" i="1"/>
  <c r="BT197" i="1"/>
  <c r="BQ197" i="1"/>
  <c r="BP197" i="1"/>
  <c r="BM197" i="1"/>
  <c r="BL197" i="1"/>
  <c r="BH197" i="1"/>
  <c r="BE197" i="1"/>
  <c r="BB197" i="1"/>
  <c r="AY197" i="1" s="1"/>
  <c r="EX197" i="1" s="1"/>
  <c r="AU197" i="1"/>
  <c r="AS197" i="1"/>
  <c r="AP197" i="1"/>
  <c r="AO197" i="1"/>
  <c r="AN197" i="1"/>
  <c r="AL197" i="1"/>
  <c r="AJ197" i="1"/>
  <c r="AG197" i="1"/>
  <c r="AE197" i="1"/>
  <c r="AB197" i="1"/>
  <c r="Z197" i="1"/>
  <c r="X197" i="1"/>
  <c r="N197" i="1"/>
  <c r="BY197" i="1" s="1"/>
  <c r="M197" i="1"/>
  <c r="I197" i="1"/>
  <c r="D197" i="1"/>
  <c r="FK196" i="1"/>
  <c r="FJ196" i="1"/>
  <c r="EU196" i="1"/>
  <c r="ES196" i="1"/>
  <c r="EO196" i="1"/>
  <c r="EQ196" i="1" s="1"/>
  <c r="EN196" i="1"/>
  <c r="EJ196" i="1"/>
  <c r="EG196" i="1"/>
  <c r="ED196" i="1"/>
  <c r="EC196" i="1"/>
  <c r="DW196" i="1"/>
  <c r="DY196" i="1" s="1"/>
  <c r="DV196" i="1"/>
  <c r="DU196" i="1"/>
  <c r="DM196" i="1"/>
  <c r="DL196" i="1"/>
  <c r="DK196" i="1"/>
  <c r="DJ196" i="1"/>
  <c r="DG196" i="1"/>
  <c r="DF196" i="1"/>
  <c r="DE196" i="1"/>
  <c r="CZ196" i="1"/>
  <c r="DB196" i="1" s="1"/>
  <c r="CY196" i="1"/>
  <c r="CX196" i="1"/>
  <c r="DA196" i="1" s="1"/>
  <c r="CW196" i="1"/>
  <c r="DC196" i="1" s="1"/>
  <c r="CN196" i="1"/>
  <c r="CV196" i="1" s="1"/>
  <c r="CM196" i="1"/>
  <c r="CL196" i="1"/>
  <c r="CK196" i="1"/>
  <c r="CJ196" i="1"/>
  <c r="CI196" i="1"/>
  <c r="CH196" i="1"/>
  <c r="CG196" i="1"/>
  <c r="CF196" i="1"/>
  <c r="BV196" i="1"/>
  <c r="BU196" i="1"/>
  <c r="BT196" i="1"/>
  <c r="BR196" i="1"/>
  <c r="BQ196" i="1"/>
  <c r="BP196" i="1"/>
  <c r="BN196" i="1"/>
  <c r="BM196" i="1"/>
  <c r="BL196" i="1"/>
  <c r="BH196" i="1"/>
  <c r="BE196" i="1"/>
  <c r="AY196" i="1"/>
  <c r="EY196" i="1" s="1"/>
  <c r="AU196" i="1"/>
  <c r="AS196" i="1"/>
  <c r="AP196" i="1"/>
  <c r="AO196" i="1"/>
  <c r="AN196" i="1"/>
  <c r="AL196" i="1"/>
  <c r="AJ196" i="1"/>
  <c r="AG196" i="1"/>
  <c r="AE196" i="1"/>
  <c r="AB196" i="1"/>
  <c r="Z196" i="1"/>
  <c r="X196" i="1"/>
  <c r="R196" i="1"/>
  <c r="CO196" i="1" s="1"/>
  <c r="N196" i="1"/>
  <c r="BX196" i="1" s="1"/>
  <c r="FK195" i="1"/>
  <c r="FJ195" i="1"/>
  <c r="EU195" i="1"/>
  <c r="ES195" i="1"/>
  <c r="EO195" i="1"/>
  <c r="EQ195" i="1" s="1"/>
  <c r="EN195" i="1"/>
  <c r="EJ195" i="1"/>
  <c r="EG195" i="1"/>
  <c r="DM195" i="1"/>
  <c r="DG195" i="1"/>
  <c r="DF195" i="1"/>
  <c r="DE195" i="1"/>
  <c r="CZ195" i="1"/>
  <c r="DB195" i="1" s="1"/>
  <c r="CY195" i="1"/>
  <c r="CX195" i="1"/>
  <c r="DA195" i="1" s="1"/>
  <c r="CW195" i="1"/>
  <c r="DC195" i="1" s="1"/>
  <c r="CJ195" i="1"/>
  <c r="CI195" i="1"/>
  <c r="CH195" i="1"/>
  <c r="BV195" i="1"/>
  <c r="CG195" i="1" s="1"/>
  <c r="BU195" i="1"/>
  <c r="BT195" i="1"/>
  <c r="BR195" i="1"/>
  <c r="CF195" i="1" s="1"/>
  <c r="BQ195" i="1"/>
  <c r="BP195" i="1"/>
  <c r="BN195" i="1"/>
  <c r="BM195" i="1"/>
  <c r="BL195" i="1"/>
  <c r="BI195" i="1"/>
  <c r="BH195" i="1"/>
  <c r="BE195" i="1"/>
  <c r="BB195" i="1"/>
  <c r="AZ195" i="1"/>
  <c r="EC195" i="1" s="1"/>
  <c r="AU195" i="1"/>
  <c r="AS195" i="1"/>
  <c r="AP195" i="1"/>
  <c r="AO195" i="1"/>
  <c r="AN195" i="1"/>
  <c r="AL195" i="1"/>
  <c r="AJ195" i="1"/>
  <c r="AG195" i="1"/>
  <c r="AE195" i="1"/>
  <c r="AB195" i="1"/>
  <c r="Z195" i="1"/>
  <c r="X195" i="1"/>
  <c r="R195" i="1"/>
  <c r="CD195" i="1" s="1"/>
  <c r="CP195" i="1" s="1"/>
  <c r="N195" i="1"/>
  <c r="CQ195" i="1" s="1"/>
  <c r="L195" i="1"/>
  <c r="DL195" i="1" s="1"/>
  <c r="K195" i="1"/>
  <c r="DK195" i="1" s="1"/>
  <c r="J195" i="1"/>
  <c r="DJ195" i="1" s="1"/>
  <c r="D195" i="1"/>
  <c r="FK194" i="1"/>
  <c r="FJ194" i="1"/>
  <c r="EU194" i="1"/>
  <c r="ES194" i="1"/>
  <c r="EO194" i="1"/>
  <c r="EQ194" i="1" s="1"/>
  <c r="EN194" i="1"/>
  <c r="EJ194" i="1"/>
  <c r="EG194" i="1"/>
  <c r="ED194" i="1"/>
  <c r="EC194" i="1"/>
  <c r="DW194" i="1"/>
  <c r="DY194" i="1" s="1"/>
  <c r="DV194" i="1"/>
  <c r="DU194" i="1"/>
  <c r="DM194" i="1"/>
  <c r="DL194" i="1"/>
  <c r="DK194" i="1"/>
  <c r="DJ194" i="1"/>
  <c r="DG194" i="1"/>
  <c r="DF194" i="1"/>
  <c r="DE194" i="1"/>
  <c r="CZ194" i="1"/>
  <c r="DB194" i="1" s="1"/>
  <c r="CY194" i="1"/>
  <c r="CX194" i="1"/>
  <c r="CW194" i="1"/>
  <c r="DC194" i="1" s="1"/>
  <c r="CU194" i="1"/>
  <c r="CT194" i="1"/>
  <c r="CS194" i="1"/>
  <c r="CR194" i="1"/>
  <c r="CQ194" i="1"/>
  <c r="CP194" i="1"/>
  <c r="CO194" i="1"/>
  <c r="CN194" i="1"/>
  <c r="CV194" i="1" s="1"/>
  <c r="CM194" i="1"/>
  <c r="CL194" i="1"/>
  <c r="CK194" i="1"/>
  <c r="CJ194" i="1"/>
  <c r="CI194" i="1"/>
  <c r="CH194" i="1"/>
  <c r="CG194" i="1"/>
  <c r="CF194" i="1"/>
  <c r="CE194" i="1"/>
  <c r="CD194" i="1"/>
  <c r="CC194" i="1"/>
  <c r="CB194" i="1"/>
  <c r="BZ194" i="1"/>
  <c r="BY194" i="1"/>
  <c r="BX194" i="1"/>
  <c r="BV194" i="1"/>
  <c r="BU194" i="1"/>
  <c r="BT194" i="1"/>
  <c r="BR194" i="1"/>
  <c r="BQ194" i="1"/>
  <c r="BP194" i="1"/>
  <c r="BN194" i="1"/>
  <c r="BM194" i="1"/>
  <c r="BL194" i="1"/>
  <c r="BH194" i="1"/>
  <c r="BE194" i="1"/>
  <c r="AY194" i="1"/>
  <c r="AU194" i="1"/>
  <c r="AS194" i="1"/>
  <c r="AP194" i="1"/>
  <c r="AO194" i="1"/>
  <c r="AN194" i="1"/>
  <c r="AL194" i="1"/>
  <c r="AJ194" i="1"/>
  <c r="AG194" i="1"/>
  <c r="AE194" i="1"/>
  <c r="AB194" i="1"/>
  <c r="Z194" i="1"/>
  <c r="X194" i="1"/>
  <c r="EL424" i="1"/>
  <c r="EL436" i="1" s="1"/>
  <c r="EM423" i="1"/>
  <c r="EM435" i="1" s="1"/>
  <c r="EL423" i="1"/>
  <c r="EM420" i="1"/>
  <c r="EM432" i="1" s="1"/>
  <c r="EL420" i="1"/>
  <c r="FK188" i="1"/>
  <c r="FJ188" i="1"/>
  <c r="EU188" i="1"/>
  <c r="ES188" i="1"/>
  <c r="EO188" i="1"/>
  <c r="EN188" i="1"/>
  <c r="EJ188" i="1"/>
  <c r="EG188" i="1"/>
  <c r="ED188" i="1"/>
  <c r="EC188" i="1"/>
  <c r="DW188" i="1"/>
  <c r="DV188" i="1"/>
  <c r="DU188" i="1"/>
  <c r="BH188" i="1"/>
  <c r="BE188" i="1"/>
  <c r="AY188" i="1"/>
  <c r="EY188" i="1" s="1"/>
  <c r="AU188" i="1"/>
  <c r="AS188" i="1"/>
  <c r="AG188" i="1"/>
  <c r="AE188" i="1"/>
  <c r="FN186" i="1"/>
  <c r="FM186" i="1"/>
  <c r="FK186" i="1"/>
  <c r="FJ186" i="1"/>
  <c r="EU186" i="1"/>
  <c r="ES186" i="1"/>
  <c r="EO186" i="1"/>
  <c r="EN186" i="1"/>
  <c r="EJ186" i="1"/>
  <c r="EG186" i="1"/>
  <c r="DX186" i="1"/>
  <c r="BI186" i="1"/>
  <c r="BH186" i="1"/>
  <c r="BE186" i="1"/>
  <c r="BB186" i="1"/>
  <c r="BA186" i="1"/>
  <c r="AZ186" i="1"/>
  <c r="ED186" i="1" s="1"/>
  <c r="AU186" i="1"/>
  <c r="AS186" i="1"/>
  <c r="AG186" i="1"/>
  <c r="AE186" i="1"/>
  <c r="GJ185" i="1"/>
  <c r="GI185" i="1"/>
  <c r="GB185" i="1"/>
  <c r="GD185" i="1" s="1"/>
  <c r="GA185" i="1"/>
  <c r="FW185" i="1"/>
  <c r="FR185" i="1"/>
  <c r="GF185" i="1" s="1"/>
  <c r="FO185" i="1"/>
  <c r="FZ185" i="1" s="1"/>
  <c r="GC185" i="1" s="1"/>
  <c r="FK185" i="1"/>
  <c r="FJ185" i="1"/>
  <c r="EU185" i="1"/>
  <c r="ES185" i="1"/>
  <c r="EO185" i="1"/>
  <c r="EQ185" i="1" s="1"/>
  <c r="EN185" i="1"/>
  <c r="EJ185" i="1"/>
  <c r="EG185" i="1"/>
  <c r="ED185" i="1"/>
  <c r="EC185" i="1"/>
  <c r="DW185" i="1"/>
  <c r="DY185" i="1" s="1"/>
  <c r="DV185" i="1"/>
  <c r="DU185" i="1"/>
  <c r="BH185" i="1"/>
  <c r="BE185" i="1"/>
  <c r="AY185" i="1"/>
  <c r="EX185" i="1" s="1"/>
  <c r="AU185" i="1"/>
  <c r="AG185" i="1"/>
  <c r="FR184" i="1"/>
  <c r="FO184" i="1"/>
  <c r="EU184" i="1"/>
  <c r="EJ184" i="1"/>
  <c r="EG184" i="1"/>
  <c r="DX184" i="1"/>
  <c r="DU184" i="1"/>
  <c r="DM184" i="1"/>
  <c r="DL184" i="1"/>
  <c r="DK184" i="1"/>
  <c r="DJ184" i="1"/>
  <c r="DG184" i="1"/>
  <c r="DF184" i="1"/>
  <c r="DE184" i="1"/>
  <c r="CU184" i="1"/>
  <c r="CT184" i="1"/>
  <c r="CS184" i="1"/>
  <c r="CR184" i="1"/>
  <c r="CQ184" i="1"/>
  <c r="CP184" i="1"/>
  <c r="CO184" i="1"/>
  <c r="CN184" i="1"/>
  <c r="CV184" i="1" s="1"/>
  <c r="CM184" i="1"/>
  <c r="CL184" i="1"/>
  <c r="CK184" i="1"/>
  <c r="CJ184" i="1"/>
  <c r="CI184" i="1"/>
  <c r="CH184" i="1"/>
  <c r="CG184" i="1"/>
  <c r="CF184" i="1"/>
  <c r="CE184" i="1"/>
  <c r="CD184" i="1"/>
  <c r="BZ184" i="1"/>
  <c r="BV184" i="1"/>
  <c r="BU184" i="1"/>
  <c r="BT184" i="1"/>
  <c r="BR184" i="1"/>
  <c r="BQ184" i="1"/>
  <c r="BP184" i="1"/>
  <c r="BN184" i="1"/>
  <c r="BM184" i="1"/>
  <c r="BL184" i="1"/>
  <c r="BH184" i="1"/>
  <c r="BE184" i="1"/>
  <c r="AY184" i="1"/>
  <c r="EY184" i="1" s="1"/>
  <c r="AU184" i="1"/>
  <c r="AS184" i="1"/>
  <c r="AP184" i="1"/>
  <c r="AO184" i="1"/>
  <c r="AN184" i="1"/>
  <c r="AL184" i="1"/>
  <c r="AJ184" i="1"/>
  <c r="AG184" i="1"/>
  <c r="AE184" i="1"/>
  <c r="AB184" i="1"/>
  <c r="Z184" i="1"/>
  <c r="X184" i="1"/>
  <c r="FK163" i="1"/>
  <c r="FJ163" i="1"/>
  <c r="EU163" i="1"/>
  <c r="ES163" i="1"/>
  <c r="EO163" i="1"/>
  <c r="EN163" i="1"/>
  <c r="EJ163" i="1"/>
  <c r="EG163" i="1"/>
  <c r="DM163" i="1"/>
  <c r="DG163" i="1"/>
  <c r="DF163" i="1"/>
  <c r="DE163" i="1"/>
  <c r="CZ163" i="1"/>
  <c r="CY163" i="1"/>
  <c r="BV163" i="1"/>
  <c r="CG163" i="1" s="1"/>
  <c r="BU163" i="1"/>
  <c r="BT163" i="1"/>
  <c r="CJ163" i="1" s="1"/>
  <c r="BR163" i="1"/>
  <c r="CF163" i="1" s="1"/>
  <c r="BQ163" i="1"/>
  <c r="BP163" i="1"/>
  <c r="CI163" i="1" s="1"/>
  <c r="BN163" i="1"/>
  <c r="BM163" i="1"/>
  <c r="BL163" i="1"/>
  <c r="CH163" i="1" s="1"/>
  <c r="BH163" i="1"/>
  <c r="BE163" i="1"/>
  <c r="AZ163" i="1"/>
  <c r="ED163" i="1" s="1"/>
  <c r="AU163" i="1"/>
  <c r="AS163" i="1"/>
  <c r="AG163" i="1"/>
  <c r="AE163" i="1"/>
  <c r="AB163" i="1"/>
  <c r="Z163" i="1"/>
  <c r="R163" i="1"/>
  <c r="N163" i="1"/>
  <c r="BY163" i="1" s="1"/>
  <c r="L163" i="1"/>
  <c r="K163" i="1"/>
  <c r="J163" i="1"/>
  <c r="FK162" i="1"/>
  <c r="FJ162" i="1"/>
  <c r="EU162" i="1"/>
  <c r="ES162" i="1"/>
  <c r="EO162" i="1"/>
  <c r="EQ162" i="1" s="1"/>
  <c r="EN162" i="1"/>
  <c r="EJ162" i="1"/>
  <c r="EG162" i="1"/>
  <c r="ED162" i="1"/>
  <c r="EC162" i="1"/>
  <c r="DW162" i="1"/>
  <c r="DY162" i="1" s="1"/>
  <c r="DV162" i="1"/>
  <c r="DU162" i="1"/>
  <c r="DM162" i="1"/>
  <c r="DL162" i="1"/>
  <c r="DK162" i="1"/>
  <c r="DJ162" i="1"/>
  <c r="DG162" i="1"/>
  <c r="DF162" i="1"/>
  <c r="DE162" i="1"/>
  <c r="CZ162" i="1"/>
  <c r="DB162" i="1" s="1"/>
  <c r="CY162" i="1"/>
  <c r="CX162" i="1"/>
  <c r="CW162" i="1"/>
  <c r="DC162" i="1" s="1"/>
  <c r="CN162" i="1"/>
  <c r="CV162" i="1" s="1"/>
  <c r="CM162" i="1"/>
  <c r="CL162" i="1"/>
  <c r="CK162" i="1"/>
  <c r="CJ162" i="1"/>
  <c r="CI162" i="1"/>
  <c r="CH162" i="1"/>
  <c r="CG162" i="1"/>
  <c r="CF162" i="1"/>
  <c r="BV162" i="1"/>
  <c r="BU162" i="1"/>
  <c r="BT162" i="1"/>
  <c r="BR162" i="1"/>
  <c r="BQ162" i="1"/>
  <c r="BP162" i="1"/>
  <c r="BN162" i="1"/>
  <c r="BM162" i="1"/>
  <c r="BL162" i="1"/>
  <c r="BH162" i="1"/>
  <c r="BE162" i="1"/>
  <c r="AY162" i="1"/>
  <c r="DZ162" i="1" s="1"/>
  <c r="AU162" i="1"/>
  <c r="AS162" i="1"/>
  <c r="AG162" i="1"/>
  <c r="AE162" i="1"/>
  <c r="AB162" i="1"/>
  <c r="Z162" i="1"/>
  <c r="R162" i="1"/>
  <c r="N162" i="1"/>
  <c r="CR162" i="1" s="1"/>
  <c r="FK161" i="1"/>
  <c r="FJ161" i="1"/>
  <c r="EU161" i="1"/>
  <c r="ES161" i="1"/>
  <c r="EO161" i="1"/>
  <c r="EQ161" i="1" s="1"/>
  <c r="EN161" i="1"/>
  <c r="EJ161" i="1"/>
  <c r="EG161" i="1"/>
  <c r="ED161" i="1"/>
  <c r="EC161" i="1"/>
  <c r="DW161" i="1"/>
  <c r="DY161" i="1" s="1"/>
  <c r="DV161" i="1"/>
  <c r="DU161" i="1"/>
  <c r="DM161" i="1"/>
  <c r="DL161" i="1"/>
  <c r="DK161" i="1"/>
  <c r="DJ161" i="1"/>
  <c r="DG161" i="1"/>
  <c r="DF161" i="1"/>
  <c r="DE161" i="1"/>
  <c r="CZ161" i="1"/>
  <c r="DB161" i="1" s="1"/>
  <c r="CY161" i="1"/>
  <c r="CX161" i="1"/>
  <c r="DD161" i="1" s="1"/>
  <c r="CW161" i="1"/>
  <c r="DC161" i="1" s="1"/>
  <c r="CN161" i="1"/>
  <c r="CV161" i="1" s="1"/>
  <c r="CM161" i="1"/>
  <c r="CL161" i="1"/>
  <c r="CK161" i="1"/>
  <c r="CJ161" i="1"/>
  <c r="CI161" i="1"/>
  <c r="CH161" i="1"/>
  <c r="CG161" i="1"/>
  <c r="CF161" i="1"/>
  <c r="BV161" i="1"/>
  <c r="BU161" i="1"/>
  <c r="BT161" i="1"/>
  <c r="BR161" i="1"/>
  <c r="BQ161" i="1"/>
  <c r="BP161" i="1"/>
  <c r="BN161" i="1"/>
  <c r="BM161" i="1"/>
  <c r="BL161" i="1"/>
  <c r="BH161" i="1"/>
  <c r="BE161" i="1"/>
  <c r="BB161" i="1"/>
  <c r="AY161" i="1" s="1"/>
  <c r="EX161" i="1" s="1"/>
  <c r="AU161" i="1"/>
  <c r="AS161" i="1"/>
  <c r="AP161" i="1"/>
  <c r="AO161" i="1"/>
  <c r="AN161" i="1"/>
  <c r="AL161" i="1"/>
  <c r="AJ161" i="1"/>
  <c r="AG161" i="1"/>
  <c r="AE161" i="1"/>
  <c r="AB161" i="1"/>
  <c r="Z161" i="1"/>
  <c r="X161" i="1"/>
  <c r="R161" i="1"/>
  <c r="CP161" i="1" s="1"/>
  <c r="N161" i="1"/>
  <c r="CQ161" i="1" s="1"/>
  <c r="FK160" i="1"/>
  <c r="FJ160" i="1"/>
  <c r="EY160" i="1"/>
  <c r="EX160" i="1"/>
  <c r="EU160" i="1"/>
  <c r="ES160" i="1"/>
  <c r="EO160" i="1"/>
  <c r="EQ160" i="1" s="1"/>
  <c r="EN160" i="1"/>
  <c r="EJ160" i="1"/>
  <c r="EG160" i="1"/>
  <c r="FK159" i="1"/>
  <c r="FJ159" i="1"/>
  <c r="EY159" i="1"/>
  <c r="EX159" i="1"/>
  <c r="EU159" i="1"/>
  <c r="ES159" i="1"/>
  <c r="EO159" i="1"/>
  <c r="EN159" i="1"/>
  <c r="EJ159" i="1"/>
  <c r="EG159" i="1"/>
  <c r="FL158" i="1"/>
  <c r="EY158" i="1"/>
  <c r="EX158" i="1"/>
  <c r="EU158" i="1"/>
  <c r="ES158" i="1"/>
  <c r="EO158" i="1"/>
  <c r="EN158" i="1"/>
  <c r="EJ158" i="1"/>
  <c r="EG158" i="1"/>
  <c r="FK157" i="1"/>
  <c r="FJ157" i="1"/>
  <c r="EU157" i="1"/>
  <c r="ES157" i="1"/>
  <c r="EO157" i="1"/>
  <c r="EQ157" i="1" s="1"/>
  <c r="EN157" i="1"/>
  <c r="EJ157" i="1"/>
  <c r="EG157" i="1"/>
  <c r="ED157" i="1"/>
  <c r="EC157" i="1"/>
  <c r="DW157" i="1"/>
  <c r="DY157" i="1" s="1"/>
  <c r="DV157" i="1"/>
  <c r="DU157" i="1"/>
  <c r="DM157" i="1"/>
  <c r="DL157" i="1"/>
  <c r="DK157" i="1"/>
  <c r="DJ157" i="1"/>
  <c r="DG157" i="1"/>
  <c r="DF157" i="1"/>
  <c r="DE157" i="1"/>
  <c r="CZ157" i="1"/>
  <c r="DB157" i="1" s="1"/>
  <c r="CY157" i="1"/>
  <c r="CX157" i="1"/>
  <c r="DA157" i="1" s="1"/>
  <c r="CW157" i="1"/>
  <c r="DC157" i="1" s="1"/>
  <c r="CN157" i="1"/>
  <c r="CV157" i="1" s="1"/>
  <c r="CM157" i="1"/>
  <c r="CL157" i="1"/>
  <c r="CK157" i="1"/>
  <c r="CJ157" i="1"/>
  <c r="CI157" i="1"/>
  <c r="CH157" i="1"/>
  <c r="CG157" i="1"/>
  <c r="CF157" i="1"/>
  <c r="BV157" i="1"/>
  <c r="BU157" i="1"/>
  <c r="BT157" i="1"/>
  <c r="BR157" i="1"/>
  <c r="BQ157" i="1"/>
  <c r="BP157" i="1"/>
  <c r="BN157" i="1"/>
  <c r="BM157" i="1"/>
  <c r="BL157" i="1"/>
  <c r="BH157" i="1"/>
  <c r="BE157" i="1"/>
  <c r="AY157" i="1"/>
  <c r="EA157" i="1" s="1"/>
  <c r="AU157" i="1"/>
  <c r="AS157" i="1"/>
  <c r="AP157" i="1"/>
  <c r="AO157" i="1"/>
  <c r="AN157" i="1"/>
  <c r="AL157" i="1"/>
  <c r="AJ157" i="1"/>
  <c r="AG157" i="1"/>
  <c r="AE157" i="1"/>
  <c r="AB157" i="1"/>
  <c r="Z157" i="1"/>
  <c r="X157" i="1"/>
  <c r="R157" i="1"/>
  <c r="N157" i="1"/>
  <c r="FK156" i="1"/>
  <c r="FJ156" i="1"/>
  <c r="EU156" i="1"/>
  <c r="ES156" i="1"/>
  <c r="EO156" i="1"/>
  <c r="EQ156" i="1" s="1"/>
  <c r="EN156" i="1"/>
  <c r="EJ156" i="1"/>
  <c r="EG156" i="1"/>
  <c r="DM156" i="1"/>
  <c r="DG156" i="1"/>
  <c r="DF156" i="1"/>
  <c r="DE156" i="1"/>
  <c r="CZ156" i="1"/>
  <c r="DB156" i="1" s="1"/>
  <c r="CY156" i="1"/>
  <c r="CX156" i="1"/>
  <c r="CW156" i="1"/>
  <c r="DC156" i="1" s="1"/>
  <c r="CJ156" i="1"/>
  <c r="CI156" i="1"/>
  <c r="CH156" i="1"/>
  <c r="BV156" i="1"/>
  <c r="BU156" i="1"/>
  <c r="BT156" i="1"/>
  <c r="BR156" i="1"/>
  <c r="CF156" i="1" s="1"/>
  <c r="BQ156" i="1"/>
  <c r="BP156" i="1"/>
  <c r="BN156" i="1"/>
  <c r="BM156" i="1"/>
  <c r="BL156" i="1"/>
  <c r="BH156" i="1"/>
  <c r="BE156" i="1"/>
  <c r="BB156" i="1"/>
  <c r="BA156" i="1"/>
  <c r="AZ156" i="1"/>
  <c r="ED156" i="1" s="1"/>
  <c r="AU156" i="1"/>
  <c r="AS156" i="1"/>
  <c r="AP156" i="1"/>
  <c r="AO156" i="1"/>
  <c r="AN156" i="1"/>
  <c r="AL156" i="1"/>
  <c r="AJ156" i="1"/>
  <c r="AG156" i="1"/>
  <c r="AE156" i="1"/>
  <c r="AB156" i="1"/>
  <c r="Z156" i="1"/>
  <c r="X156" i="1"/>
  <c r="R156" i="1"/>
  <c r="CE156" i="1" s="1"/>
  <c r="N156" i="1"/>
  <c r="CR156" i="1" s="1"/>
  <c r="L156" i="1"/>
  <c r="DL156" i="1" s="1"/>
  <c r="K156" i="1"/>
  <c r="DK156" i="1" s="1"/>
  <c r="J156" i="1"/>
  <c r="DJ156" i="1" s="1"/>
  <c r="FK155" i="1"/>
  <c r="FJ155" i="1"/>
  <c r="EU155" i="1"/>
  <c r="ES155" i="1"/>
  <c r="EO155" i="1"/>
  <c r="EQ155" i="1" s="1"/>
  <c r="EN155" i="1"/>
  <c r="EJ155" i="1"/>
  <c r="EG155" i="1"/>
  <c r="ED155" i="1"/>
  <c r="EC155" i="1"/>
  <c r="DW155" i="1"/>
  <c r="DY155" i="1" s="1"/>
  <c r="DV155" i="1"/>
  <c r="DU155" i="1"/>
  <c r="DM155" i="1"/>
  <c r="DL155" i="1"/>
  <c r="DK155" i="1"/>
  <c r="DJ155" i="1"/>
  <c r="DG155" i="1"/>
  <c r="DF155" i="1"/>
  <c r="DE155" i="1"/>
  <c r="CZ155" i="1"/>
  <c r="DB155" i="1" s="1"/>
  <c r="CY155" i="1"/>
  <c r="CX155" i="1"/>
  <c r="DA155" i="1" s="1"/>
  <c r="CW155" i="1"/>
  <c r="DC155" i="1" s="1"/>
  <c r="CN155" i="1"/>
  <c r="CV155" i="1" s="1"/>
  <c r="CM155" i="1"/>
  <c r="CL155" i="1"/>
  <c r="CK155" i="1"/>
  <c r="CJ155" i="1"/>
  <c r="CI155" i="1"/>
  <c r="CH155" i="1"/>
  <c r="CG155" i="1"/>
  <c r="CF155" i="1"/>
  <c r="BV155" i="1"/>
  <c r="BU155" i="1"/>
  <c r="BT155" i="1"/>
  <c r="BR155" i="1"/>
  <c r="BQ155" i="1"/>
  <c r="BP155" i="1"/>
  <c r="BN155" i="1"/>
  <c r="BM155" i="1"/>
  <c r="BL155" i="1"/>
  <c r="BH155" i="1"/>
  <c r="BE155" i="1"/>
  <c r="AY155" i="1"/>
  <c r="EA155" i="1" s="1"/>
  <c r="AU155" i="1"/>
  <c r="AS155" i="1"/>
  <c r="AP155" i="1"/>
  <c r="AO155" i="1"/>
  <c r="AN155" i="1"/>
  <c r="AL155" i="1"/>
  <c r="AJ155" i="1"/>
  <c r="AG155" i="1"/>
  <c r="AE155" i="1"/>
  <c r="AB155" i="1"/>
  <c r="Z155" i="1"/>
  <c r="X155" i="1"/>
  <c r="R155" i="1"/>
  <c r="N155" i="1"/>
  <c r="FK146" i="1"/>
  <c r="FJ146" i="1"/>
  <c r="EU146" i="1"/>
  <c r="ES146" i="1"/>
  <c r="EO146" i="1"/>
  <c r="EN146" i="1"/>
  <c r="EJ146" i="1"/>
  <c r="EG146" i="1"/>
  <c r="ED146" i="1"/>
  <c r="EC146" i="1"/>
  <c r="DW146" i="1"/>
  <c r="DV146" i="1"/>
  <c r="DU146" i="1"/>
  <c r="BH146" i="1"/>
  <c r="BE146" i="1"/>
  <c r="AY146" i="1"/>
  <c r="EA146" i="1" s="1"/>
  <c r="AU146" i="1"/>
  <c r="AS146" i="1"/>
  <c r="AG146" i="1"/>
  <c r="AE146" i="1"/>
  <c r="FK145" i="1"/>
  <c r="FJ145" i="1"/>
  <c r="EU145" i="1"/>
  <c r="ES145" i="1"/>
  <c r="EO145" i="1"/>
  <c r="EN145" i="1"/>
  <c r="EJ145" i="1"/>
  <c r="EG145" i="1"/>
  <c r="ED145" i="1"/>
  <c r="EC145" i="1"/>
  <c r="DW145" i="1"/>
  <c r="DV145" i="1"/>
  <c r="DU145" i="1"/>
  <c r="BH145" i="1"/>
  <c r="BE145" i="1"/>
  <c r="AY145" i="1"/>
  <c r="AU145" i="1"/>
  <c r="AS145" i="1"/>
  <c r="AG145" i="1"/>
  <c r="AE145" i="1"/>
  <c r="FK144" i="1"/>
  <c r="FJ144" i="1"/>
  <c r="EU144" i="1"/>
  <c r="ES144" i="1"/>
  <c r="EO144" i="1"/>
  <c r="EN144" i="1"/>
  <c r="EJ144" i="1"/>
  <c r="EG144" i="1"/>
  <c r="ED144" i="1"/>
  <c r="EC144" i="1"/>
  <c r="DW144" i="1"/>
  <c r="DV144" i="1"/>
  <c r="DU144" i="1"/>
  <c r="BH144" i="1"/>
  <c r="BE144" i="1"/>
  <c r="AY144" i="1"/>
  <c r="EY144" i="1" s="1"/>
  <c r="AU144" i="1"/>
  <c r="AS144" i="1"/>
  <c r="AG144" i="1"/>
  <c r="AE144" i="1"/>
  <c r="FK141" i="1"/>
  <c r="FJ141" i="1"/>
  <c r="EU141" i="1"/>
  <c r="ES141" i="1"/>
  <c r="EO141" i="1"/>
  <c r="EQ141" i="1" s="1"/>
  <c r="EN141" i="1"/>
  <c r="EJ141" i="1"/>
  <c r="EG141" i="1"/>
  <c r="DX141" i="1"/>
  <c r="BI141" i="1"/>
  <c r="BH141" i="1"/>
  <c r="BE141" i="1"/>
  <c r="BB141" i="1"/>
  <c r="BA141" i="1"/>
  <c r="AZ141" i="1"/>
  <c r="ED141" i="1" s="1"/>
  <c r="AU141" i="1"/>
  <c r="AS141" i="1"/>
  <c r="AG141" i="1"/>
  <c r="FN140" i="1"/>
  <c r="FM140" i="1"/>
  <c r="FK140" i="1"/>
  <c r="FJ140" i="1"/>
  <c r="EU140" i="1"/>
  <c r="ES140" i="1"/>
  <c r="EO140" i="1"/>
  <c r="EN140" i="1"/>
  <c r="EJ140" i="1"/>
  <c r="EG140" i="1"/>
  <c r="DX140" i="1"/>
  <c r="BI140" i="1"/>
  <c r="BH140" i="1"/>
  <c r="BE140" i="1"/>
  <c r="BB140" i="1"/>
  <c r="BA140" i="1"/>
  <c r="AZ140" i="1"/>
  <c r="ED140" i="1" s="1"/>
  <c r="AU140" i="1"/>
  <c r="AS140" i="1"/>
  <c r="AG140" i="1"/>
  <c r="AE140" i="1"/>
  <c r="GJ139" i="1"/>
  <c r="GI139" i="1"/>
  <c r="GB139" i="1"/>
  <c r="GD139" i="1" s="1"/>
  <c r="GA139" i="1"/>
  <c r="FW139" i="1"/>
  <c r="FR139" i="1"/>
  <c r="GF139" i="1" s="1"/>
  <c r="FO139" i="1"/>
  <c r="FK139" i="1"/>
  <c r="FJ139" i="1"/>
  <c r="EU139" i="1"/>
  <c r="ES139" i="1"/>
  <c r="EO139" i="1"/>
  <c r="EQ139" i="1" s="1"/>
  <c r="EN139" i="1"/>
  <c r="EJ139" i="1"/>
  <c r="EG139" i="1"/>
  <c r="ED139" i="1"/>
  <c r="EC139" i="1"/>
  <c r="DW139" i="1"/>
  <c r="DY139" i="1" s="1"/>
  <c r="DV139" i="1"/>
  <c r="DU139" i="1"/>
  <c r="BH139" i="1"/>
  <c r="BE139" i="1"/>
  <c r="AY139" i="1"/>
  <c r="EY139" i="1" s="1"/>
  <c r="AU139" i="1"/>
  <c r="AG139" i="1"/>
  <c r="FR138" i="1"/>
  <c r="FO138" i="1"/>
  <c r="EU138" i="1"/>
  <c r="EJ138" i="1"/>
  <c r="EG138" i="1"/>
  <c r="DX138" i="1"/>
  <c r="DU138" i="1"/>
  <c r="DM138" i="1"/>
  <c r="DL138" i="1"/>
  <c r="DK138" i="1"/>
  <c r="DJ138" i="1"/>
  <c r="DG138" i="1"/>
  <c r="DF138" i="1"/>
  <c r="DE138" i="1"/>
  <c r="CU138" i="1"/>
  <c r="CT138" i="1"/>
  <c r="CS138" i="1"/>
  <c r="CR138" i="1"/>
  <c r="CQ138" i="1"/>
  <c r="CP138" i="1"/>
  <c r="CO138" i="1"/>
  <c r="CN138" i="1"/>
  <c r="CV138" i="1" s="1"/>
  <c r="CM138" i="1"/>
  <c r="CL138" i="1"/>
  <c r="CK138" i="1"/>
  <c r="CJ138" i="1"/>
  <c r="CI138" i="1"/>
  <c r="CH138" i="1"/>
  <c r="CG138" i="1"/>
  <c r="CF138" i="1"/>
  <c r="CE138" i="1"/>
  <c r="CD138" i="1"/>
  <c r="BZ138" i="1"/>
  <c r="BV138" i="1"/>
  <c r="BU138" i="1"/>
  <c r="BT138" i="1"/>
  <c r="BR138" i="1"/>
  <c r="BQ138" i="1"/>
  <c r="BP138" i="1"/>
  <c r="BN138" i="1"/>
  <c r="BM138" i="1"/>
  <c r="BL138" i="1"/>
  <c r="BH138" i="1"/>
  <c r="BE138" i="1"/>
  <c r="AY138" i="1"/>
  <c r="AU138" i="1"/>
  <c r="AS138" i="1"/>
  <c r="AP138" i="1"/>
  <c r="AO138" i="1"/>
  <c r="AN138" i="1"/>
  <c r="AL138" i="1"/>
  <c r="AJ138" i="1"/>
  <c r="AG138" i="1"/>
  <c r="AE138" i="1"/>
  <c r="AB138" i="1"/>
  <c r="Z138" i="1"/>
  <c r="X138" i="1"/>
  <c r="FK133" i="1"/>
  <c r="FJ133" i="1"/>
  <c r="EU133" i="1"/>
  <c r="ES133" i="1"/>
  <c r="EO133" i="1"/>
  <c r="EQ133" i="1" s="1"/>
  <c r="EN133" i="1"/>
  <c r="EJ133" i="1"/>
  <c r="EG133" i="1"/>
  <c r="EC133" i="1"/>
  <c r="DX133" i="1"/>
  <c r="DW133" i="1"/>
  <c r="DY133" i="1" s="1"/>
  <c r="DU133" i="1"/>
  <c r="BG133" i="1"/>
  <c r="ED133" i="1" s="1"/>
  <c r="BE133" i="1"/>
  <c r="AY133" i="1"/>
  <c r="EX133" i="1" s="1"/>
  <c r="AU133" i="1"/>
  <c r="AG133" i="1"/>
  <c r="AE133" i="1"/>
  <c r="FN132" i="1"/>
  <c r="FN424" i="1" s="1"/>
  <c r="FM132" i="1"/>
  <c r="FM424" i="1" s="1"/>
  <c r="FK132" i="1"/>
  <c r="FJ132" i="1"/>
  <c r="EU132" i="1"/>
  <c r="ES132" i="1"/>
  <c r="EO132" i="1"/>
  <c r="EN132" i="1"/>
  <c r="EJ132" i="1"/>
  <c r="EG132" i="1"/>
  <c r="DX132" i="1"/>
  <c r="BH132" i="1"/>
  <c r="BE132" i="1"/>
  <c r="BB132" i="1"/>
  <c r="BA132" i="1"/>
  <c r="AZ132" i="1"/>
  <c r="EC132" i="1" s="1"/>
  <c r="AU132" i="1"/>
  <c r="AG132" i="1"/>
  <c r="AE132" i="1"/>
  <c r="FK131" i="1"/>
  <c r="FJ131" i="1"/>
  <c r="EU131" i="1"/>
  <c r="ES131" i="1"/>
  <c r="EO131" i="1"/>
  <c r="EN131" i="1"/>
  <c r="EJ131" i="1"/>
  <c r="EG131" i="1"/>
  <c r="DX131" i="1"/>
  <c r="BH131" i="1"/>
  <c r="BE131" i="1"/>
  <c r="AZ131" i="1"/>
  <c r="EC131" i="1" s="1"/>
  <c r="AU131" i="1"/>
  <c r="AS131" i="1"/>
  <c r="AG131" i="1"/>
  <c r="AE131" i="1"/>
  <c r="FK130" i="1"/>
  <c r="FJ130" i="1"/>
  <c r="EU130" i="1"/>
  <c r="ES130" i="1"/>
  <c r="EO130" i="1"/>
  <c r="EN130" i="1"/>
  <c r="EJ130" i="1"/>
  <c r="EG130" i="1"/>
  <c r="DX130" i="1"/>
  <c r="BH130" i="1"/>
  <c r="BE130" i="1"/>
  <c r="BB130" i="1"/>
  <c r="BA130" i="1"/>
  <c r="AZ130" i="1"/>
  <c r="EC130" i="1" s="1"/>
  <c r="AU130" i="1"/>
  <c r="AS130" i="1"/>
  <c r="AG130" i="1"/>
  <c r="AE130" i="1"/>
  <c r="FK129" i="1"/>
  <c r="FJ129" i="1"/>
  <c r="EU129" i="1"/>
  <c r="ES129" i="1"/>
  <c r="EO129" i="1"/>
  <c r="EQ129" i="1" s="1"/>
  <c r="EN129" i="1"/>
  <c r="EJ129" i="1"/>
  <c r="EG129" i="1"/>
  <c r="ED129" i="1"/>
  <c r="EC129" i="1"/>
  <c r="DW129" i="1"/>
  <c r="DY129" i="1" s="1"/>
  <c r="DV129" i="1"/>
  <c r="DU129" i="1"/>
  <c r="BH129" i="1"/>
  <c r="BE129" i="1"/>
  <c r="AY129" i="1"/>
  <c r="EX129" i="1" s="1"/>
  <c r="AU129" i="1"/>
  <c r="AG129" i="1"/>
  <c r="FK128" i="1"/>
  <c r="FJ128" i="1"/>
  <c r="EU128" i="1"/>
  <c r="ES128" i="1"/>
  <c r="EO128" i="1"/>
  <c r="EN128" i="1"/>
  <c r="EJ128" i="1"/>
  <c r="EG128" i="1"/>
  <c r="DX128" i="1"/>
  <c r="BI128" i="1"/>
  <c r="BH128" i="1"/>
  <c r="BE128" i="1"/>
  <c r="BB128" i="1"/>
  <c r="BA128" i="1"/>
  <c r="AZ128" i="1"/>
  <c r="ED128" i="1" s="1"/>
  <c r="AU128" i="1"/>
  <c r="AS128" i="1"/>
  <c r="AG128" i="1"/>
  <c r="AE128" i="1"/>
  <c r="GJ127" i="1"/>
  <c r="GI127" i="1"/>
  <c r="GB127" i="1"/>
  <c r="GD127" i="1" s="1"/>
  <c r="GA127" i="1"/>
  <c r="FW127" i="1"/>
  <c r="FR127" i="1"/>
  <c r="GF127" i="1" s="1"/>
  <c r="FO127" i="1"/>
  <c r="FZ127" i="1" s="1"/>
  <c r="FK127" i="1"/>
  <c r="FJ127" i="1"/>
  <c r="EU127" i="1"/>
  <c r="ES127" i="1"/>
  <c r="EO127" i="1"/>
  <c r="EQ127" i="1" s="1"/>
  <c r="EN127" i="1"/>
  <c r="EJ127" i="1"/>
  <c r="EG127" i="1"/>
  <c r="ED127" i="1"/>
  <c r="EC127" i="1"/>
  <c r="DW127" i="1"/>
  <c r="DY127" i="1" s="1"/>
  <c r="DV127" i="1"/>
  <c r="DU127" i="1"/>
  <c r="BH127" i="1"/>
  <c r="BE127" i="1"/>
  <c r="AY127" i="1"/>
  <c r="EX127" i="1" s="1"/>
  <c r="AU127" i="1"/>
  <c r="AG127" i="1"/>
  <c r="FR126" i="1"/>
  <c r="FO126" i="1"/>
  <c r="EU126" i="1"/>
  <c r="EJ126" i="1"/>
  <c r="EG126" i="1"/>
  <c r="DX126" i="1"/>
  <c r="DU126" i="1"/>
  <c r="DM126" i="1"/>
  <c r="DL126" i="1"/>
  <c r="DK126" i="1"/>
  <c r="DJ126" i="1"/>
  <c r="DG126" i="1"/>
  <c r="DF126" i="1"/>
  <c r="DE126" i="1"/>
  <c r="CU126" i="1"/>
  <c r="CT126" i="1"/>
  <c r="CS126" i="1"/>
  <c r="CR126" i="1"/>
  <c r="CQ126" i="1"/>
  <c r="CP126" i="1"/>
  <c r="CO126" i="1"/>
  <c r="CN126" i="1"/>
  <c r="CV126" i="1" s="1"/>
  <c r="CM126" i="1"/>
  <c r="CL126" i="1"/>
  <c r="CK126" i="1"/>
  <c r="CJ126" i="1"/>
  <c r="CI126" i="1"/>
  <c r="CH126" i="1"/>
  <c r="CG126" i="1"/>
  <c r="CF126" i="1"/>
  <c r="CE126" i="1"/>
  <c r="CD126" i="1"/>
  <c r="BZ126" i="1"/>
  <c r="BV126" i="1"/>
  <c r="BU126" i="1"/>
  <c r="BT126" i="1"/>
  <c r="BR126" i="1"/>
  <c r="BQ126" i="1"/>
  <c r="BP126" i="1"/>
  <c r="BN126" i="1"/>
  <c r="BM126" i="1"/>
  <c r="BL126" i="1"/>
  <c r="BH126" i="1"/>
  <c r="BE126" i="1"/>
  <c r="AY126" i="1"/>
  <c r="EX126" i="1" s="1"/>
  <c r="AU126" i="1"/>
  <c r="AS126" i="1"/>
  <c r="AP126" i="1"/>
  <c r="AO126" i="1"/>
  <c r="AN126" i="1"/>
  <c r="AL126" i="1"/>
  <c r="AJ126" i="1"/>
  <c r="AG126" i="1"/>
  <c r="AE126" i="1"/>
  <c r="AB126" i="1"/>
  <c r="Z126" i="1"/>
  <c r="X126" i="1"/>
  <c r="FK121" i="1"/>
  <c r="FJ121" i="1"/>
  <c r="EU121" i="1"/>
  <c r="ES121" i="1"/>
  <c r="EO121" i="1"/>
  <c r="EN121" i="1"/>
  <c r="EJ121" i="1"/>
  <c r="EG121" i="1"/>
  <c r="DX121" i="1"/>
  <c r="BH121" i="1"/>
  <c r="BE121" i="1"/>
  <c r="BB121" i="1"/>
  <c r="BA121" i="1"/>
  <c r="AZ121" i="1"/>
  <c r="EC121" i="1" s="1"/>
  <c r="AU121" i="1"/>
  <c r="AS121" i="1"/>
  <c r="AG121" i="1"/>
  <c r="AE121" i="1"/>
  <c r="FK120" i="1"/>
  <c r="FJ120" i="1"/>
  <c r="EU120" i="1"/>
  <c r="ES120" i="1"/>
  <c r="EO120" i="1"/>
  <c r="EQ120" i="1" s="1"/>
  <c r="EN120" i="1"/>
  <c r="EJ120" i="1"/>
  <c r="EG120" i="1"/>
  <c r="ED120" i="1"/>
  <c r="EC120" i="1"/>
  <c r="DW120" i="1"/>
  <c r="DY120" i="1" s="1"/>
  <c r="DV120" i="1"/>
  <c r="DU120" i="1"/>
  <c r="BH120" i="1"/>
  <c r="BE120" i="1"/>
  <c r="AY120" i="1"/>
  <c r="EX120" i="1" s="1"/>
  <c r="AU120" i="1"/>
  <c r="AG120" i="1"/>
  <c r="FK119" i="1"/>
  <c r="FJ119" i="1"/>
  <c r="EU119" i="1"/>
  <c r="ES119" i="1"/>
  <c r="EO119" i="1"/>
  <c r="EN119" i="1"/>
  <c r="EJ119" i="1"/>
  <c r="EG119" i="1"/>
  <c r="DX119" i="1"/>
  <c r="BI119" i="1"/>
  <c r="BH119" i="1"/>
  <c r="BE119" i="1"/>
  <c r="BB119" i="1"/>
  <c r="BA119" i="1"/>
  <c r="AZ119" i="1"/>
  <c r="ED119" i="1" s="1"/>
  <c r="AU119" i="1"/>
  <c r="AS119" i="1"/>
  <c r="AG119" i="1"/>
  <c r="AE119" i="1"/>
  <c r="GJ118" i="1"/>
  <c r="GI118" i="1"/>
  <c r="GB118" i="1"/>
  <c r="GD118" i="1" s="1"/>
  <c r="GA118" i="1"/>
  <c r="FW118" i="1"/>
  <c r="FR118" i="1"/>
  <c r="GF118" i="1" s="1"/>
  <c r="FO118" i="1"/>
  <c r="FZ118" i="1" s="1"/>
  <c r="FK118" i="1"/>
  <c r="FJ118" i="1"/>
  <c r="EU118" i="1"/>
  <c r="ES118" i="1"/>
  <c r="EO118" i="1"/>
  <c r="EQ118" i="1" s="1"/>
  <c r="EN118" i="1"/>
  <c r="EJ118" i="1"/>
  <c r="EG118" i="1"/>
  <c r="ED118" i="1"/>
  <c r="EC118" i="1"/>
  <c r="DW118" i="1"/>
  <c r="DY118" i="1" s="1"/>
  <c r="DV118" i="1"/>
  <c r="DU118" i="1"/>
  <c r="BH118" i="1"/>
  <c r="BE118" i="1"/>
  <c r="AY118" i="1"/>
  <c r="EX118" i="1" s="1"/>
  <c r="AU118" i="1"/>
  <c r="AG118" i="1"/>
  <c r="FR117" i="1"/>
  <c r="FO117" i="1"/>
  <c r="EU117" i="1"/>
  <c r="EJ117" i="1"/>
  <c r="EG117" i="1"/>
  <c r="DX117" i="1"/>
  <c r="DU117" i="1"/>
  <c r="DM117" i="1"/>
  <c r="DL117" i="1"/>
  <c r="DK117" i="1"/>
  <c r="DJ117" i="1"/>
  <c r="DG117" i="1"/>
  <c r="DF117" i="1"/>
  <c r="DE117" i="1"/>
  <c r="CU117" i="1"/>
  <c r="CT117" i="1"/>
  <c r="CS117" i="1"/>
  <c r="CR117" i="1"/>
  <c r="CQ117" i="1"/>
  <c r="CP117" i="1"/>
  <c r="CO117" i="1"/>
  <c r="CN117" i="1"/>
  <c r="CV117" i="1" s="1"/>
  <c r="CM117" i="1"/>
  <c r="CL117" i="1"/>
  <c r="CK117" i="1"/>
  <c r="CJ117" i="1"/>
  <c r="CI117" i="1"/>
  <c r="CH117" i="1"/>
  <c r="CG117" i="1"/>
  <c r="CF117" i="1"/>
  <c r="CE117" i="1"/>
  <c r="CD117" i="1"/>
  <c r="BZ117" i="1"/>
  <c r="BV117" i="1"/>
  <c r="BU117" i="1"/>
  <c r="BT117" i="1"/>
  <c r="BR117" i="1"/>
  <c r="BQ117" i="1"/>
  <c r="BP117" i="1"/>
  <c r="BN117" i="1"/>
  <c r="BM117" i="1"/>
  <c r="BL117" i="1"/>
  <c r="BH117" i="1"/>
  <c r="BE117" i="1"/>
  <c r="AY117" i="1"/>
  <c r="EX117" i="1" s="1"/>
  <c r="AU117" i="1"/>
  <c r="AS117" i="1"/>
  <c r="AP117" i="1"/>
  <c r="AO117" i="1"/>
  <c r="AN117" i="1"/>
  <c r="AL117" i="1"/>
  <c r="AJ117" i="1"/>
  <c r="AG117" i="1"/>
  <c r="AE117" i="1"/>
  <c r="AB117" i="1"/>
  <c r="Z117" i="1"/>
  <c r="X117" i="1"/>
  <c r="FK112" i="1"/>
  <c r="FJ112" i="1"/>
  <c r="EU112" i="1"/>
  <c r="ES112" i="1"/>
  <c r="EO112" i="1"/>
  <c r="EQ112" i="1" s="1"/>
  <c r="EN112" i="1"/>
  <c r="EJ112" i="1"/>
  <c r="EG112" i="1"/>
  <c r="DM112" i="1"/>
  <c r="DG112" i="1"/>
  <c r="DF112" i="1"/>
  <c r="DE112" i="1"/>
  <c r="CZ112" i="1"/>
  <c r="DB112" i="1" s="1"/>
  <c r="CY112" i="1"/>
  <c r="CX112" i="1"/>
  <c r="DD112" i="1" s="1"/>
  <c r="CW112" i="1"/>
  <c r="DC112" i="1" s="1"/>
  <c r="CJ112" i="1"/>
  <c r="CI112" i="1"/>
  <c r="CH112" i="1"/>
  <c r="BU112" i="1"/>
  <c r="BT112" i="1"/>
  <c r="BQ112" i="1"/>
  <c r="BP112" i="1"/>
  <c r="BM112" i="1"/>
  <c r="BL112" i="1"/>
  <c r="BH112" i="1"/>
  <c r="BE112" i="1"/>
  <c r="BB112" i="1"/>
  <c r="AZ112" i="1"/>
  <c r="EC112" i="1" s="1"/>
  <c r="AU112" i="1"/>
  <c r="AS112" i="1"/>
  <c r="AG112" i="1"/>
  <c r="AE112" i="1"/>
  <c r="N112" i="1"/>
  <c r="CQ112" i="1" s="1"/>
  <c r="I112" i="1"/>
  <c r="FK111" i="1"/>
  <c r="FJ111" i="1"/>
  <c r="EU111" i="1"/>
  <c r="ES111" i="1"/>
  <c r="EO111" i="1"/>
  <c r="EQ111" i="1" s="1"/>
  <c r="EN111" i="1"/>
  <c r="EJ111" i="1"/>
  <c r="EG111" i="1"/>
  <c r="ED111" i="1"/>
  <c r="EC111" i="1"/>
  <c r="DW111" i="1"/>
  <c r="DY111" i="1" s="1"/>
  <c r="DV111" i="1"/>
  <c r="DU111" i="1"/>
  <c r="DM111" i="1"/>
  <c r="DL111" i="1"/>
  <c r="DK111" i="1"/>
  <c r="DJ111" i="1"/>
  <c r="DG111" i="1"/>
  <c r="DF111" i="1"/>
  <c r="DE111" i="1"/>
  <c r="CZ111" i="1"/>
  <c r="DB111" i="1" s="1"/>
  <c r="CY111" i="1"/>
  <c r="CX111" i="1"/>
  <c r="DD111" i="1" s="1"/>
  <c r="CW111" i="1"/>
  <c r="DC111" i="1" s="1"/>
  <c r="CJ111" i="1"/>
  <c r="CI111" i="1"/>
  <c r="CH111" i="1"/>
  <c r="CG111" i="1"/>
  <c r="CF111" i="1"/>
  <c r="BV111" i="1"/>
  <c r="BU111" i="1"/>
  <c r="BT111" i="1"/>
  <c r="BR111" i="1"/>
  <c r="BQ111" i="1"/>
  <c r="BP111" i="1"/>
  <c r="BN111" i="1"/>
  <c r="BM111" i="1"/>
  <c r="BL111" i="1"/>
  <c r="BH111" i="1"/>
  <c r="BE111" i="1"/>
  <c r="AY111" i="1"/>
  <c r="EX111" i="1" s="1"/>
  <c r="AU111" i="1"/>
  <c r="AS111" i="1"/>
  <c r="AG111" i="1"/>
  <c r="AE111" i="1"/>
  <c r="R111" i="1"/>
  <c r="CP111" i="1" s="1"/>
  <c r="N111" i="1"/>
  <c r="CQ111" i="1" s="1"/>
  <c r="D111" i="1"/>
  <c r="CM111" i="1" s="1"/>
  <c r="FL110" i="1"/>
  <c r="EU110" i="1"/>
  <c r="ES110" i="1"/>
  <c r="EO110" i="1"/>
  <c r="EN110" i="1"/>
  <c r="EJ110" i="1"/>
  <c r="EG110" i="1"/>
  <c r="DX110" i="1"/>
  <c r="DM110" i="1"/>
  <c r="DG110" i="1"/>
  <c r="DF110" i="1"/>
  <c r="DE110" i="1"/>
  <c r="CZ110" i="1"/>
  <c r="CY110" i="1"/>
  <c r="BU110" i="1"/>
  <c r="BT110" i="1"/>
  <c r="CJ110" i="1" s="1"/>
  <c r="BQ110" i="1"/>
  <c r="BP110" i="1"/>
  <c r="CI110" i="1" s="1"/>
  <c r="BM110" i="1"/>
  <c r="BL110" i="1"/>
  <c r="CH110" i="1" s="1"/>
  <c r="BH110" i="1"/>
  <c r="BE110" i="1"/>
  <c r="BB110" i="1"/>
  <c r="BA110" i="1"/>
  <c r="AZ110" i="1"/>
  <c r="DV110" i="1" s="1"/>
  <c r="AU110" i="1"/>
  <c r="AS110" i="1"/>
  <c r="AP110" i="1"/>
  <c r="AO110" i="1"/>
  <c r="AN110" i="1"/>
  <c r="AL110" i="1"/>
  <c r="AJ110" i="1"/>
  <c r="AG110" i="1"/>
  <c r="AE110" i="1"/>
  <c r="AB110" i="1"/>
  <c r="Z110" i="1"/>
  <c r="X110" i="1"/>
  <c r="N110" i="1"/>
  <c r="CC110" i="1" s="1"/>
  <c r="I110" i="1"/>
  <c r="D110" i="1" s="1"/>
  <c r="FK109" i="1"/>
  <c r="FJ109" i="1"/>
  <c r="EU109" i="1"/>
  <c r="ES109" i="1"/>
  <c r="EO109" i="1"/>
  <c r="EQ109" i="1" s="1"/>
  <c r="EN109" i="1"/>
  <c r="EJ109" i="1"/>
  <c r="EG109" i="1"/>
  <c r="ED109" i="1"/>
  <c r="EC109" i="1"/>
  <c r="DW109" i="1"/>
  <c r="DY109" i="1" s="1"/>
  <c r="DV109" i="1"/>
  <c r="DU109" i="1"/>
  <c r="DM109" i="1"/>
  <c r="DL109" i="1"/>
  <c r="DK109" i="1"/>
  <c r="DJ109" i="1"/>
  <c r="DG109" i="1"/>
  <c r="DF109" i="1"/>
  <c r="DE109" i="1"/>
  <c r="CZ109" i="1"/>
  <c r="DB109" i="1" s="1"/>
  <c r="CY109" i="1"/>
  <c r="CX109" i="1"/>
  <c r="DD109" i="1" s="1"/>
  <c r="CW109" i="1"/>
  <c r="DC109" i="1" s="1"/>
  <c r="CJ109" i="1"/>
  <c r="CI109" i="1"/>
  <c r="CH109" i="1"/>
  <c r="CG109" i="1"/>
  <c r="CF109" i="1"/>
  <c r="BV109" i="1"/>
  <c r="BU109" i="1"/>
  <c r="BT109" i="1"/>
  <c r="BR109" i="1"/>
  <c r="BQ109" i="1"/>
  <c r="BP109" i="1"/>
  <c r="BN109" i="1"/>
  <c r="BM109" i="1"/>
  <c r="BL109" i="1"/>
  <c r="BH109" i="1"/>
  <c r="BE109" i="1"/>
  <c r="AY109" i="1"/>
  <c r="EX109" i="1" s="1"/>
  <c r="AU109" i="1"/>
  <c r="AS109" i="1"/>
  <c r="AP109" i="1"/>
  <c r="AO109" i="1"/>
  <c r="AN109" i="1"/>
  <c r="AL109" i="1"/>
  <c r="AJ109" i="1"/>
  <c r="AG109" i="1"/>
  <c r="AE109" i="1"/>
  <c r="AB109" i="1"/>
  <c r="Z109" i="1"/>
  <c r="X109" i="1"/>
  <c r="R109" i="1"/>
  <c r="CP109" i="1" s="1"/>
  <c r="N109" i="1"/>
  <c r="CQ109" i="1" s="1"/>
  <c r="D109" i="1"/>
  <c r="CM109" i="1" s="1"/>
  <c r="FK108" i="1"/>
  <c r="FJ108" i="1"/>
  <c r="EU108" i="1"/>
  <c r="ES108" i="1"/>
  <c r="EO108" i="1"/>
  <c r="EN108" i="1"/>
  <c r="EJ108" i="1"/>
  <c r="EG108" i="1"/>
  <c r="BH108" i="1"/>
  <c r="BE108" i="1"/>
  <c r="BB108" i="1"/>
  <c r="BA108" i="1"/>
  <c r="AZ108" i="1"/>
  <c r="ED108" i="1" s="1"/>
  <c r="AU108" i="1"/>
  <c r="AS108" i="1"/>
  <c r="AG108" i="1"/>
  <c r="AE108" i="1"/>
  <c r="FK107" i="1"/>
  <c r="FJ107" i="1"/>
  <c r="EU107" i="1"/>
  <c r="ES107" i="1"/>
  <c r="EO107" i="1"/>
  <c r="EN107" i="1"/>
  <c r="EJ107" i="1"/>
  <c r="EG107" i="1"/>
  <c r="BH107" i="1"/>
  <c r="BE107" i="1"/>
  <c r="BB107" i="1"/>
  <c r="BA107" i="1"/>
  <c r="AZ107" i="1"/>
  <c r="ED107" i="1" s="1"/>
  <c r="AU107" i="1"/>
  <c r="AS107" i="1"/>
  <c r="AG107" i="1"/>
  <c r="AE107" i="1"/>
  <c r="FK106" i="1"/>
  <c r="FJ106" i="1"/>
  <c r="EU106" i="1"/>
  <c r="ES106" i="1"/>
  <c r="EO106" i="1"/>
  <c r="EQ106" i="1" s="1"/>
  <c r="EN106" i="1"/>
  <c r="EJ106" i="1"/>
  <c r="EG106" i="1"/>
  <c r="ED106" i="1"/>
  <c r="EC106" i="1"/>
  <c r="DW106" i="1"/>
  <c r="DY106" i="1" s="1"/>
  <c r="DV106" i="1"/>
  <c r="DU106" i="1"/>
  <c r="BH106" i="1"/>
  <c r="BE106" i="1"/>
  <c r="AY106" i="1"/>
  <c r="EX106" i="1" s="1"/>
  <c r="AU106" i="1"/>
  <c r="AG106" i="1"/>
  <c r="FK105" i="1"/>
  <c r="FJ105" i="1"/>
  <c r="EU105" i="1"/>
  <c r="ES105" i="1"/>
  <c r="EO105" i="1"/>
  <c r="EN105" i="1"/>
  <c r="EJ105" i="1"/>
  <c r="EG105" i="1"/>
  <c r="ED105" i="1"/>
  <c r="EC105" i="1"/>
  <c r="DW105" i="1"/>
  <c r="DV105" i="1"/>
  <c r="DU105" i="1"/>
  <c r="BH105" i="1"/>
  <c r="BE105" i="1"/>
  <c r="AY105" i="1"/>
  <c r="EX105" i="1" s="1"/>
  <c r="AU105" i="1"/>
  <c r="AS105" i="1"/>
  <c r="AG105" i="1"/>
  <c r="AE105" i="1"/>
  <c r="FK103" i="1"/>
  <c r="FJ103" i="1"/>
  <c r="EU103" i="1"/>
  <c r="ES103" i="1"/>
  <c r="EO103" i="1"/>
  <c r="EN103" i="1"/>
  <c r="EJ103" i="1"/>
  <c r="EG103" i="1"/>
  <c r="DX103" i="1"/>
  <c r="DS103" i="1"/>
  <c r="BI103" i="1"/>
  <c r="BH103" i="1"/>
  <c r="BE103" i="1"/>
  <c r="BB103" i="1"/>
  <c r="BA103" i="1"/>
  <c r="AZ103" i="1"/>
  <c r="EC103" i="1" s="1"/>
  <c r="AU103" i="1"/>
  <c r="AS103" i="1"/>
  <c r="AG103" i="1"/>
  <c r="AE103" i="1"/>
  <c r="GJ102" i="1"/>
  <c r="GI102" i="1"/>
  <c r="GB102" i="1"/>
  <c r="GD102" i="1" s="1"/>
  <c r="GA102" i="1"/>
  <c r="FW102" i="1"/>
  <c r="FR102" i="1"/>
  <c r="GF102" i="1" s="1"/>
  <c r="FO102" i="1"/>
  <c r="FZ102" i="1" s="1"/>
  <c r="GC102" i="1" s="1"/>
  <c r="FK102" i="1"/>
  <c r="FJ102" i="1"/>
  <c r="EU102" i="1"/>
  <c r="EO102" i="1"/>
  <c r="EQ102" i="1" s="1"/>
  <c r="EN102" i="1"/>
  <c r="EJ102" i="1"/>
  <c r="EG102" i="1"/>
  <c r="ED102" i="1"/>
  <c r="EC102" i="1"/>
  <c r="DW102" i="1"/>
  <c r="DY102" i="1" s="1"/>
  <c r="DV102" i="1"/>
  <c r="DU102" i="1"/>
  <c r="BH102" i="1"/>
  <c r="BE102" i="1"/>
  <c r="AY102" i="1"/>
  <c r="EY102" i="1" s="1"/>
  <c r="AU102" i="1"/>
  <c r="AG102" i="1"/>
  <c r="FR101" i="1"/>
  <c r="FO101" i="1"/>
  <c r="EU101" i="1"/>
  <c r="EJ101" i="1"/>
  <c r="EG101" i="1"/>
  <c r="DX101" i="1"/>
  <c r="DU101" i="1"/>
  <c r="DM101" i="1"/>
  <c r="DL101" i="1"/>
  <c r="DK101" i="1"/>
  <c r="DJ101" i="1"/>
  <c r="DG101" i="1"/>
  <c r="DF101" i="1"/>
  <c r="DE101" i="1"/>
  <c r="CU101" i="1"/>
  <c r="CT101" i="1"/>
  <c r="CS101" i="1"/>
  <c r="CR101" i="1"/>
  <c r="CQ101" i="1"/>
  <c r="CP101" i="1"/>
  <c r="CO101" i="1"/>
  <c r="CN101" i="1"/>
  <c r="CV101" i="1" s="1"/>
  <c r="CM101" i="1"/>
  <c r="CL101" i="1"/>
  <c r="CK101" i="1"/>
  <c r="CJ101" i="1"/>
  <c r="CI101" i="1"/>
  <c r="CH101" i="1"/>
  <c r="CG101" i="1"/>
  <c r="CF101" i="1"/>
  <c r="CE101" i="1"/>
  <c r="CD101" i="1"/>
  <c r="BZ101" i="1"/>
  <c r="BV101" i="1"/>
  <c r="BU101" i="1"/>
  <c r="BT101" i="1"/>
  <c r="BR101" i="1"/>
  <c r="BQ101" i="1"/>
  <c r="BP101" i="1"/>
  <c r="BN101" i="1"/>
  <c r="BM101" i="1"/>
  <c r="BL101" i="1"/>
  <c r="BH101" i="1"/>
  <c r="BE101" i="1"/>
  <c r="AY101" i="1"/>
  <c r="EX101" i="1" s="1"/>
  <c r="AU101" i="1"/>
  <c r="AS101" i="1"/>
  <c r="AP101" i="1"/>
  <c r="AO101" i="1"/>
  <c r="AN101" i="1"/>
  <c r="AL101" i="1"/>
  <c r="AJ101" i="1"/>
  <c r="AG101" i="1"/>
  <c r="AE101" i="1"/>
  <c r="AB101" i="1"/>
  <c r="Z101" i="1"/>
  <c r="X101" i="1"/>
  <c r="FK96" i="1"/>
  <c r="FJ96" i="1"/>
  <c r="EY96" i="1"/>
  <c r="EX96" i="1"/>
  <c r="EU96" i="1"/>
  <c r="ES96" i="1"/>
  <c r="EO96" i="1"/>
  <c r="EQ96" i="1" s="1"/>
  <c r="EN96" i="1"/>
  <c r="EG96" i="1"/>
  <c r="FK95" i="1"/>
  <c r="FJ95" i="1"/>
  <c r="EY95" i="1"/>
  <c r="EX95" i="1"/>
  <c r="EU95" i="1"/>
  <c r="ES95" i="1"/>
  <c r="EO95" i="1"/>
  <c r="EQ95" i="1" s="1"/>
  <c r="EN95" i="1"/>
  <c r="EG95" i="1"/>
  <c r="FK94" i="1"/>
  <c r="FJ94" i="1"/>
  <c r="EU94" i="1"/>
  <c r="ES94" i="1"/>
  <c r="EO94" i="1"/>
  <c r="EQ94" i="1" s="1"/>
  <c r="EN94" i="1"/>
  <c r="EJ94" i="1"/>
  <c r="EG94" i="1"/>
  <c r="EC94" i="1"/>
  <c r="DW94" i="1"/>
  <c r="DY94" i="1" s="1"/>
  <c r="DU94" i="1"/>
  <c r="BG94" i="1"/>
  <c r="ED94" i="1" s="1"/>
  <c r="BE94" i="1"/>
  <c r="BB94" i="1"/>
  <c r="AY94" i="1" s="1"/>
  <c r="AU94" i="1"/>
  <c r="AS94" i="1"/>
  <c r="AG94" i="1"/>
  <c r="AE94" i="1"/>
  <c r="FK93" i="1"/>
  <c r="FJ93" i="1"/>
  <c r="EU93" i="1"/>
  <c r="ES93" i="1"/>
  <c r="EO93" i="1"/>
  <c r="EN93" i="1"/>
  <c r="EJ93" i="1"/>
  <c r="EG93" i="1"/>
  <c r="BG93" i="1"/>
  <c r="BH93" i="1" s="1"/>
  <c r="BE93" i="1"/>
  <c r="BB93" i="1"/>
  <c r="BA93" i="1"/>
  <c r="AZ93" i="1"/>
  <c r="EC93" i="1" s="1"/>
  <c r="AU93" i="1"/>
  <c r="AS93" i="1"/>
  <c r="AG93" i="1"/>
  <c r="AE93" i="1"/>
  <c r="FK92" i="1"/>
  <c r="FJ92" i="1"/>
  <c r="EU92" i="1"/>
  <c r="ES92" i="1"/>
  <c r="EO92" i="1"/>
  <c r="EN92" i="1"/>
  <c r="EJ92" i="1"/>
  <c r="EG92" i="1"/>
  <c r="BH92" i="1"/>
  <c r="BE92" i="1"/>
  <c r="BB92" i="1"/>
  <c r="BA92" i="1"/>
  <c r="AZ92" i="1"/>
  <c r="ED92" i="1" s="1"/>
  <c r="AU92" i="1"/>
  <c r="AS92" i="1"/>
  <c r="AG92" i="1"/>
  <c r="AE92" i="1"/>
  <c r="FK91" i="1"/>
  <c r="FJ91" i="1"/>
  <c r="EU91" i="1"/>
  <c r="ES91" i="1"/>
  <c r="EO91" i="1"/>
  <c r="EQ91" i="1" s="1"/>
  <c r="EN91" i="1"/>
  <c r="EJ91" i="1"/>
  <c r="EG91" i="1"/>
  <c r="ED91" i="1"/>
  <c r="EC91" i="1"/>
  <c r="DW91" i="1"/>
  <c r="DY91" i="1" s="1"/>
  <c r="DV91" i="1"/>
  <c r="DU91" i="1"/>
  <c r="BH91" i="1"/>
  <c r="BE91" i="1"/>
  <c r="AY91" i="1"/>
  <c r="EX91" i="1" s="1"/>
  <c r="AU91" i="1"/>
  <c r="AG91" i="1"/>
  <c r="FK90" i="1"/>
  <c r="FJ90" i="1"/>
  <c r="EU90" i="1"/>
  <c r="ES90" i="1"/>
  <c r="EO90" i="1"/>
  <c r="EN90" i="1"/>
  <c r="EJ90" i="1"/>
  <c r="EG90" i="1"/>
  <c r="ED90" i="1"/>
  <c r="EC90" i="1"/>
  <c r="DX90" i="1"/>
  <c r="DW90" i="1"/>
  <c r="DV90" i="1"/>
  <c r="DU90" i="1"/>
  <c r="BH90" i="1"/>
  <c r="BE90" i="1"/>
  <c r="AY90" i="1"/>
  <c r="EY90" i="1" s="1"/>
  <c r="AU90" i="1"/>
  <c r="AS90" i="1"/>
  <c r="AG90" i="1"/>
  <c r="AE90" i="1"/>
  <c r="FK89" i="1"/>
  <c r="FJ89" i="1"/>
  <c r="EU89" i="1"/>
  <c r="ES89" i="1"/>
  <c r="EO89" i="1"/>
  <c r="EQ89" i="1" s="1"/>
  <c r="EN89" i="1"/>
  <c r="EJ89" i="1"/>
  <c r="EG89" i="1"/>
  <c r="ED89" i="1"/>
  <c r="EC89" i="1"/>
  <c r="DW89" i="1"/>
  <c r="DY89" i="1" s="1"/>
  <c r="DV89" i="1"/>
  <c r="DU89" i="1"/>
  <c r="BH89" i="1"/>
  <c r="BE89" i="1"/>
  <c r="AY89" i="1"/>
  <c r="AU89" i="1"/>
  <c r="AS89" i="1"/>
  <c r="AG89" i="1"/>
  <c r="AE89" i="1"/>
  <c r="FN88" i="1"/>
  <c r="FM88" i="1"/>
  <c r="FK88" i="1"/>
  <c r="FJ88" i="1"/>
  <c r="EU88" i="1"/>
  <c r="ES88" i="1"/>
  <c r="EO88" i="1"/>
  <c r="EN88" i="1"/>
  <c r="EJ88" i="1"/>
  <c r="EG88" i="1"/>
  <c r="DX88" i="1"/>
  <c r="DS88" i="1"/>
  <c r="BI88" i="1"/>
  <c r="BH88" i="1"/>
  <c r="BE88" i="1"/>
  <c r="BB88" i="1"/>
  <c r="BA88" i="1"/>
  <c r="AZ88" i="1"/>
  <c r="EC88" i="1" s="1"/>
  <c r="AU88" i="1"/>
  <c r="AS88" i="1"/>
  <c r="AG88" i="1"/>
  <c r="AE88" i="1"/>
  <c r="GJ87" i="1"/>
  <c r="GI87" i="1"/>
  <c r="GB87" i="1"/>
  <c r="GD87" i="1" s="1"/>
  <c r="GA87" i="1"/>
  <c r="FW87" i="1"/>
  <c r="FR87" i="1"/>
  <c r="GF87" i="1" s="1"/>
  <c r="FO87" i="1"/>
  <c r="FZ87" i="1" s="1"/>
  <c r="FK87" i="1"/>
  <c r="FJ87" i="1"/>
  <c r="EU87" i="1"/>
  <c r="EO87" i="1"/>
  <c r="EQ87" i="1" s="1"/>
  <c r="EN87" i="1"/>
  <c r="EJ87" i="1"/>
  <c r="EG87" i="1"/>
  <c r="ED87" i="1"/>
  <c r="EC87" i="1"/>
  <c r="DW87" i="1"/>
  <c r="DY87" i="1" s="1"/>
  <c r="DV87" i="1"/>
  <c r="DU87" i="1"/>
  <c r="BH87" i="1"/>
  <c r="BE87" i="1"/>
  <c r="AY87" i="1"/>
  <c r="EY87" i="1" s="1"/>
  <c r="AU87" i="1"/>
  <c r="AG87" i="1"/>
  <c r="FR86" i="1"/>
  <c r="FO86" i="1"/>
  <c r="EU86" i="1"/>
  <c r="EJ86" i="1"/>
  <c r="EG86" i="1"/>
  <c r="DX86" i="1"/>
  <c r="DU86" i="1"/>
  <c r="DM86" i="1"/>
  <c r="DL86" i="1"/>
  <c r="DK86" i="1"/>
  <c r="DJ86" i="1"/>
  <c r="DF86" i="1"/>
  <c r="DE86" i="1"/>
  <c r="CU86" i="1"/>
  <c r="CT86" i="1"/>
  <c r="CS86" i="1"/>
  <c r="CR86" i="1"/>
  <c r="CQ86" i="1"/>
  <c r="CP86" i="1"/>
  <c r="CO86" i="1"/>
  <c r="CN86" i="1"/>
  <c r="CV86" i="1" s="1"/>
  <c r="CM86" i="1"/>
  <c r="CL86" i="1"/>
  <c r="CK86" i="1"/>
  <c r="CJ86" i="1"/>
  <c r="CI86" i="1"/>
  <c r="CH86" i="1"/>
  <c r="CG86" i="1"/>
  <c r="CF86" i="1"/>
  <c r="CE86" i="1"/>
  <c r="CD86" i="1"/>
  <c r="BZ86" i="1"/>
  <c r="BV86" i="1"/>
  <c r="BU86" i="1"/>
  <c r="BT86" i="1"/>
  <c r="BR86" i="1"/>
  <c r="BQ86" i="1"/>
  <c r="BP86" i="1"/>
  <c r="BN86" i="1"/>
  <c r="BM86" i="1"/>
  <c r="BL86" i="1"/>
  <c r="BH86" i="1"/>
  <c r="BE86" i="1"/>
  <c r="AY86" i="1"/>
  <c r="EX86" i="1" s="1"/>
  <c r="AU86" i="1"/>
  <c r="AS86" i="1"/>
  <c r="AP86" i="1"/>
  <c r="AO86" i="1"/>
  <c r="AN86" i="1"/>
  <c r="AL86" i="1"/>
  <c r="AJ86" i="1"/>
  <c r="AG86" i="1"/>
  <c r="AE86" i="1"/>
  <c r="AB86" i="1"/>
  <c r="Z86" i="1"/>
  <c r="X86" i="1"/>
  <c r="FK81" i="1"/>
  <c r="FJ81" i="1"/>
  <c r="EU81" i="1"/>
  <c r="ES81" i="1"/>
  <c r="EO81" i="1"/>
  <c r="EN81" i="1"/>
  <c r="EJ81" i="1"/>
  <c r="EG81" i="1"/>
  <c r="DX81" i="1"/>
  <c r="BH81" i="1"/>
  <c r="BE81" i="1"/>
  <c r="BB81" i="1"/>
  <c r="BA81" i="1"/>
  <c r="AZ81" i="1"/>
  <c r="EC81" i="1" s="1"/>
  <c r="AU81" i="1"/>
  <c r="AS81" i="1"/>
  <c r="AG81" i="1"/>
  <c r="AE81" i="1"/>
  <c r="FK80" i="1"/>
  <c r="FJ80" i="1"/>
  <c r="EU80" i="1"/>
  <c r="ES80" i="1"/>
  <c r="EO80" i="1"/>
  <c r="EN80" i="1"/>
  <c r="EJ80" i="1"/>
  <c r="EG80" i="1"/>
  <c r="DX80" i="1"/>
  <c r="BH80" i="1"/>
  <c r="BE80" i="1"/>
  <c r="BB80" i="1"/>
  <c r="BA80" i="1"/>
  <c r="AZ80" i="1"/>
  <c r="EC80" i="1" s="1"/>
  <c r="AU80" i="1"/>
  <c r="AS80" i="1"/>
  <c r="AG80" i="1"/>
  <c r="AE80" i="1"/>
  <c r="FK79" i="1"/>
  <c r="FJ79" i="1"/>
  <c r="EU79" i="1"/>
  <c r="ES79" i="1"/>
  <c r="EO79" i="1"/>
  <c r="EQ79" i="1" s="1"/>
  <c r="EN79" i="1"/>
  <c r="EJ79" i="1"/>
  <c r="EG79" i="1"/>
  <c r="ED79" i="1"/>
  <c r="EC79" i="1"/>
  <c r="DW79" i="1"/>
  <c r="DY79" i="1" s="1"/>
  <c r="DV79" i="1"/>
  <c r="DU79" i="1"/>
  <c r="BH79" i="1"/>
  <c r="BE79" i="1"/>
  <c r="AY79" i="1"/>
  <c r="EX79" i="1" s="1"/>
  <c r="AU79" i="1"/>
  <c r="AG79" i="1"/>
  <c r="FK78" i="1"/>
  <c r="FJ78" i="1"/>
  <c r="EU78" i="1"/>
  <c r="ES78" i="1"/>
  <c r="EO78" i="1"/>
  <c r="EN78" i="1"/>
  <c r="EJ78" i="1"/>
  <c r="EG78" i="1"/>
  <c r="DX78" i="1"/>
  <c r="BI78" i="1"/>
  <c r="BH78" i="1"/>
  <c r="BE78" i="1"/>
  <c r="BB78" i="1"/>
  <c r="BA78" i="1"/>
  <c r="AZ78" i="1"/>
  <c r="ED78" i="1" s="1"/>
  <c r="AU78" i="1"/>
  <c r="AS78" i="1"/>
  <c r="AG78" i="1"/>
  <c r="AE78" i="1"/>
  <c r="GJ77" i="1"/>
  <c r="GI77" i="1"/>
  <c r="GB77" i="1"/>
  <c r="GD77" i="1" s="1"/>
  <c r="GA77" i="1"/>
  <c r="FW77" i="1"/>
  <c r="FR77" i="1"/>
  <c r="GF77" i="1" s="1"/>
  <c r="FO77" i="1"/>
  <c r="FZ77" i="1" s="1"/>
  <c r="FK77" i="1"/>
  <c r="FJ77" i="1"/>
  <c r="EU77" i="1"/>
  <c r="EO77" i="1"/>
  <c r="EQ77" i="1" s="1"/>
  <c r="EN77" i="1"/>
  <c r="EJ77" i="1"/>
  <c r="EG77" i="1"/>
  <c r="ED77" i="1"/>
  <c r="EC77" i="1"/>
  <c r="DW77" i="1"/>
  <c r="DY77" i="1" s="1"/>
  <c r="DV77" i="1"/>
  <c r="DU77" i="1"/>
  <c r="BH77" i="1"/>
  <c r="BE77" i="1"/>
  <c r="AY77" i="1"/>
  <c r="EY77" i="1" s="1"/>
  <c r="AU77" i="1"/>
  <c r="AG77" i="1"/>
  <c r="FR76" i="1"/>
  <c r="FO76" i="1"/>
  <c r="EU76" i="1"/>
  <c r="EJ76" i="1"/>
  <c r="EG76" i="1"/>
  <c r="DX76" i="1"/>
  <c r="DU76" i="1"/>
  <c r="DM76" i="1"/>
  <c r="DL76" i="1"/>
  <c r="DK76" i="1"/>
  <c r="DJ76" i="1"/>
  <c r="DF76" i="1"/>
  <c r="DE76" i="1"/>
  <c r="CU76" i="1"/>
  <c r="CT76" i="1"/>
  <c r="CS76" i="1"/>
  <c r="CR76" i="1"/>
  <c r="CQ76" i="1"/>
  <c r="CP76" i="1"/>
  <c r="CO76" i="1"/>
  <c r="CN76" i="1"/>
  <c r="CV76" i="1" s="1"/>
  <c r="CM76" i="1"/>
  <c r="CL76" i="1"/>
  <c r="CK76" i="1"/>
  <c r="CJ76" i="1"/>
  <c r="CI76" i="1"/>
  <c r="CH76" i="1"/>
  <c r="CG76" i="1"/>
  <c r="CF76" i="1"/>
  <c r="CE76" i="1"/>
  <c r="CD76" i="1"/>
  <c r="BZ76" i="1"/>
  <c r="BV76" i="1"/>
  <c r="BU76" i="1"/>
  <c r="BT76" i="1"/>
  <c r="BR76" i="1"/>
  <c r="BQ76" i="1"/>
  <c r="BP76" i="1"/>
  <c r="BN76" i="1"/>
  <c r="BM76" i="1"/>
  <c r="BL76" i="1"/>
  <c r="BH76" i="1"/>
  <c r="BE76" i="1"/>
  <c r="AY76" i="1"/>
  <c r="EX76" i="1" s="1"/>
  <c r="AU76" i="1"/>
  <c r="AS76" i="1"/>
  <c r="AP76" i="1"/>
  <c r="AO76" i="1"/>
  <c r="AN76" i="1"/>
  <c r="AL76" i="1"/>
  <c r="AJ76" i="1"/>
  <c r="AG76" i="1"/>
  <c r="AE76" i="1"/>
  <c r="AB76" i="1"/>
  <c r="Z76" i="1"/>
  <c r="X76" i="1"/>
  <c r="FT71" i="1"/>
  <c r="FK71" i="1"/>
  <c r="FJ71" i="1"/>
  <c r="EU71" i="1"/>
  <c r="ES71" i="1"/>
  <c r="EO71" i="1"/>
  <c r="EN71" i="1"/>
  <c r="EJ71" i="1"/>
  <c r="EG71" i="1"/>
  <c r="DX71" i="1"/>
  <c r="DM71" i="1"/>
  <c r="DK71" i="1"/>
  <c r="DJ71" i="1"/>
  <c r="DG71" i="1"/>
  <c r="DF71" i="1"/>
  <c r="DE71" i="1"/>
  <c r="CZ71" i="1"/>
  <c r="CY71" i="1"/>
  <c r="BU71" i="1"/>
  <c r="BT71" i="1"/>
  <c r="CJ71" i="1" s="1"/>
  <c r="BQ71" i="1"/>
  <c r="BP71" i="1"/>
  <c r="CI71" i="1" s="1"/>
  <c r="BM71" i="1"/>
  <c r="BL71" i="1"/>
  <c r="CH71" i="1" s="1"/>
  <c r="BH71" i="1"/>
  <c r="BD71" i="1"/>
  <c r="BE71" i="1" s="1"/>
  <c r="BB71" i="1"/>
  <c r="BA71" i="1"/>
  <c r="AZ71" i="1"/>
  <c r="AU71" i="1"/>
  <c r="AG71" i="1"/>
  <c r="R71" i="1"/>
  <c r="N71" i="1"/>
  <c r="I71" i="1"/>
  <c r="D71" i="1" s="1"/>
  <c r="H71" i="1"/>
  <c r="FK70" i="1"/>
  <c r="FJ70" i="1"/>
  <c r="EU70" i="1"/>
  <c r="ES70" i="1"/>
  <c r="EO70" i="1"/>
  <c r="EQ70" i="1" s="1"/>
  <c r="EN70" i="1"/>
  <c r="EJ70" i="1"/>
  <c r="EG70" i="1"/>
  <c r="ED70" i="1"/>
  <c r="EC70" i="1"/>
  <c r="DW70" i="1"/>
  <c r="DY70" i="1" s="1"/>
  <c r="DV70" i="1"/>
  <c r="DU70" i="1"/>
  <c r="DM70" i="1"/>
  <c r="DL70" i="1"/>
  <c r="DK70" i="1"/>
  <c r="DJ70" i="1"/>
  <c r="DG70" i="1"/>
  <c r="DF70" i="1"/>
  <c r="DE70" i="1"/>
  <c r="CZ70" i="1"/>
  <c r="DB70" i="1" s="1"/>
  <c r="CY70" i="1"/>
  <c r="CX70" i="1"/>
  <c r="DD70" i="1" s="1"/>
  <c r="CW70" i="1"/>
  <c r="DC70" i="1" s="1"/>
  <c r="CR70" i="1"/>
  <c r="CQ70" i="1"/>
  <c r="CP70" i="1"/>
  <c r="CO70" i="1"/>
  <c r="CJ70" i="1"/>
  <c r="CI70" i="1"/>
  <c r="CH70" i="1"/>
  <c r="CG70" i="1"/>
  <c r="CF70" i="1"/>
  <c r="CE70" i="1"/>
  <c r="CD70" i="1"/>
  <c r="CC70" i="1"/>
  <c r="CB70" i="1"/>
  <c r="BZ70" i="1"/>
  <c r="BY70" i="1"/>
  <c r="BX70" i="1"/>
  <c r="BV70" i="1"/>
  <c r="BU70" i="1"/>
  <c r="BT70" i="1"/>
  <c r="BR70" i="1"/>
  <c r="BQ70" i="1"/>
  <c r="BP70" i="1"/>
  <c r="BN70" i="1"/>
  <c r="BM70" i="1"/>
  <c r="BL70" i="1"/>
  <c r="BH70" i="1"/>
  <c r="BE70" i="1"/>
  <c r="AY70" i="1"/>
  <c r="EX70" i="1" s="1"/>
  <c r="AU70" i="1"/>
  <c r="AG70" i="1"/>
  <c r="M70" i="1"/>
  <c r="CT70" i="1" s="1"/>
  <c r="D70" i="1"/>
  <c r="CM70" i="1" s="1"/>
  <c r="FT69" i="1"/>
  <c r="FK69" i="1"/>
  <c r="FJ69" i="1"/>
  <c r="EU69" i="1"/>
  <c r="ES69" i="1"/>
  <c r="EO69" i="1"/>
  <c r="EN69" i="1"/>
  <c r="EJ69" i="1"/>
  <c r="EG69" i="1"/>
  <c r="DX69" i="1"/>
  <c r="BB69" i="1"/>
  <c r="BA69" i="1"/>
  <c r="AZ69" i="1"/>
  <c r="EC69" i="1" s="1"/>
  <c r="FK68" i="1"/>
  <c r="FJ68" i="1"/>
  <c r="EU68" i="1"/>
  <c r="ES68" i="1"/>
  <c r="EO68" i="1"/>
  <c r="EQ68" i="1" s="1"/>
  <c r="EN68" i="1"/>
  <c r="EJ68" i="1"/>
  <c r="EG68" i="1"/>
  <c r="ED68" i="1"/>
  <c r="EC68" i="1"/>
  <c r="DW68" i="1"/>
  <c r="DY68" i="1" s="1"/>
  <c r="DV68" i="1"/>
  <c r="DU68" i="1"/>
  <c r="AY68" i="1"/>
  <c r="EX68" i="1" s="1"/>
  <c r="FT67" i="1"/>
  <c r="FK67" i="1"/>
  <c r="FJ67" i="1"/>
  <c r="FE67" i="1"/>
  <c r="EU67" i="1"/>
  <c r="ES67" i="1"/>
  <c r="EO67" i="1"/>
  <c r="EN67" i="1"/>
  <c r="EJ67" i="1"/>
  <c r="EG67" i="1"/>
  <c r="DX67" i="1"/>
  <c r="BI67" i="1"/>
  <c r="BH67" i="1"/>
  <c r="BE67" i="1"/>
  <c r="BB67" i="1"/>
  <c r="BA67" i="1"/>
  <c r="AZ67" i="1"/>
  <c r="ED67" i="1" s="1"/>
  <c r="AU67" i="1"/>
  <c r="AS67" i="1"/>
  <c r="AG67" i="1"/>
  <c r="AE67" i="1"/>
  <c r="HC66" i="1"/>
  <c r="GQ66" i="1"/>
  <c r="GJ66" i="1"/>
  <c r="GB66" i="1"/>
  <c r="GD66" i="1" s="1"/>
  <c r="GA66" i="1"/>
  <c r="FW66" i="1"/>
  <c r="FR66" i="1"/>
  <c r="FY66" i="1" s="1"/>
  <c r="FO66" i="1"/>
  <c r="GE66" i="1" s="1"/>
  <c r="FK66" i="1"/>
  <c r="FJ66" i="1"/>
  <c r="EU66" i="1"/>
  <c r="EO66" i="1"/>
  <c r="EQ66" i="1" s="1"/>
  <c r="EN66" i="1"/>
  <c r="EJ66" i="1"/>
  <c r="EG66" i="1"/>
  <c r="ED66" i="1"/>
  <c r="EC66" i="1"/>
  <c r="DW66" i="1"/>
  <c r="DY66" i="1" s="1"/>
  <c r="DV66" i="1"/>
  <c r="DU66" i="1"/>
  <c r="BH66" i="1"/>
  <c r="BE66" i="1"/>
  <c r="AY66" i="1"/>
  <c r="EX66" i="1" s="1"/>
  <c r="AU66" i="1"/>
  <c r="AG66" i="1"/>
  <c r="FR65" i="1"/>
  <c r="FO65" i="1"/>
  <c r="EU65" i="1"/>
  <c r="EJ65" i="1"/>
  <c r="EG65" i="1"/>
  <c r="DX65" i="1"/>
  <c r="DU65" i="1"/>
  <c r="DM65" i="1"/>
  <c r="DL65" i="1"/>
  <c r="DK65" i="1"/>
  <c r="DJ65" i="1"/>
  <c r="DF65" i="1"/>
  <c r="DE65" i="1"/>
  <c r="CU65" i="1"/>
  <c r="CT65" i="1"/>
  <c r="CS65" i="1"/>
  <c r="CR65" i="1"/>
  <c r="CQ65" i="1"/>
  <c r="CP65" i="1"/>
  <c r="CO65" i="1"/>
  <c r="CN65" i="1"/>
  <c r="CV65" i="1" s="1"/>
  <c r="CM65" i="1"/>
  <c r="CL65" i="1"/>
  <c r="CK65" i="1"/>
  <c r="CJ65" i="1"/>
  <c r="CI65" i="1"/>
  <c r="CH65" i="1"/>
  <c r="CG65" i="1"/>
  <c r="CF65" i="1"/>
  <c r="CE65" i="1"/>
  <c r="CD65" i="1"/>
  <c r="BZ65" i="1"/>
  <c r="BV65" i="1"/>
  <c r="BU65" i="1"/>
  <c r="BT65" i="1"/>
  <c r="BR65" i="1"/>
  <c r="BQ65" i="1"/>
  <c r="BP65" i="1"/>
  <c r="BN65" i="1"/>
  <c r="BM65" i="1"/>
  <c r="BL65" i="1"/>
  <c r="BH65" i="1"/>
  <c r="BE65" i="1"/>
  <c r="AY65" i="1"/>
  <c r="EX65" i="1" s="1"/>
  <c r="AU65" i="1"/>
  <c r="AS65" i="1"/>
  <c r="AP65" i="1"/>
  <c r="AO65" i="1"/>
  <c r="AN65" i="1"/>
  <c r="AL65" i="1"/>
  <c r="AJ65" i="1"/>
  <c r="AG65" i="1"/>
  <c r="AE65" i="1"/>
  <c r="AB65" i="1"/>
  <c r="Z65" i="1"/>
  <c r="X65" i="1"/>
  <c r="FT55" i="1"/>
  <c r="FK55" i="1"/>
  <c r="FJ55" i="1"/>
  <c r="EU55" i="1"/>
  <c r="ES55" i="1"/>
  <c r="EO55" i="1"/>
  <c r="EN55" i="1"/>
  <c r="EJ55" i="1"/>
  <c r="EG55" i="1"/>
  <c r="DM55" i="1"/>
  <c r="DG55" i="1"/>
  <c r="DF55" i="1"/>
  <c r="DE55" i="1"/>
  <c r="CZ55" i="1"/>
  <c r="CY55" i="1"/>
  <c r="BH55" i="1"/>
  <c r="BE55" i="1"/>
  <c r="BB55" i="1"/>
  <c r="BA55" i="1"/>
  <c r="AZ55" i="1"/>
  <c r="EC55" i="1" s="1"/>
  <c r="AU55" i="1"/>
  <c r="AS55" i="1"/>
  <c r="AP55" i="1"/>
  <c r="AO55" i="1"/>
  <c r="AN55" i="1"/>
  <c r="AL55" i="1"/>
  <c r="AJ55" i="1"/>
  <c r="AG55" i="1"/>
  <c r="AE55" i="1"/>
  <c r="AB55" i="1"/>
  <c r="Z55" i="1"/>
  <c r="X55" i="1"/>
  <c r="I55" i="1"/>
  <c r="E55" i="1"/>
  <c r="FT54" i="1"/>
  <c r="FL54" i="1"/>
  <c r="EU54" i="1"/>
  <c r="ES54" i="1"/>
  <c r="EO54" i="1"/>
  <c r="EN54" i="1"/>
  <c r="EJ54" i="1"/>
  <c r="EG54" i="1"/>
  <c r="DM54" i="1"/>
  <c r="DG54" i="1"/>
  <c r="DF54" i="1"/>
  <c r="DE54" i="1"/>
  <c r="CZ54" i="1"/>
  <c r="CY54" i="1"/>
  <c r="BH54" i="1"/>
  <c r="BE54" i="1"/>
  <c r="BB54" i="1"/>
  <c r="BA54" i="1"/>
  <c r="AZ54" i="1"/>
  <c r="DV54" i="1" s="1"/>
  <c r="AU54" i="1"/>
  <c r="AS54" i="1"/>
  <c r="AP54" i="1"/>
  <c r="AO54" i="1"/>
  <c r="AN54" i="1"/>
  <c r="AL54" i="1"/>
  <c r="AJ54" i="1"/>
  <c r="AG54" i="1"/>
  <c r="AE54" i="1"/>
  <c r="AB54" i="1"/>
  <c r="Z54" i="1"/>
  <c r="X54" i="1"/>
  <c r="I54" i="1"/>
  <c r="E54" i="1"/>
  <c r="FT53" i="1"/>
  <c r="FL53" i="1"/>
  <c r="EU53" i="1"/>
  <c r="ES53" i="1"/>
  <c r="EO53" i="1"/>
  <c r="EN53" i="1"/>
  <c r="EJ53" i="1"/>
  <c r="EG53" i="1"/>
  <c r="ED53" i="1"/>
  <c r="EC53" i="1"/>
  <c r="DW53" i="1"/>
  <c r="DV53" i="1"/>
  <c r="DU53" i="1"/>
  <c r="DM53" i="1"/>
  <c r="DG53" i="1"/>
  <c r="DF53" i="1"/>
  <c r="DE53" i="1"/>
  <c r="CZ53" i="1"/>
  <c r="CY53" i="1"/>
  <c r="BH53" i="1"/>
  <c r="BE53" i="1"/>
  <c r="AY53" i="1"/>
  <c r="EY53" i="1" s="1"/>
  <c r="AU53" i="1"/>
  <c r="AS53" i="1"/>
  <c r="AP53" i="1"/>
  <c r="AO53" i="1"/>
  <c r="AN53" i="1"/>
  <c r="AL53" i="1"/>
  <c r="AJ53" i="1"/>
  <c r="AG53" i="1"/>
  <c r="AE53" i="1"/>
  <c r="AB53" i="1"/>
  <c r="Z53" i="1"/>
  <c r="X53" i="1"/>
  <c r="I53" i="1"/>
  <c r="J53" i="1" s="1"/>
  <c r="E53" i="1"/>
  <c r="BU53" i="1" s="1"/>
  <c r="FT52" i="1"/>
  <c r="FQ52" i="1"/>
  <c r="FL52" i="1"/>
  <c r="EU52" i="1"/>
  <c r="ES52" i="1"/>
  <c r="EO52" i="1"/>
  <c r="EN52" i="1"/>
  <c r="EJ52" i="1"/>
  <c r="EG52" i="1"/>
  <c r="DM52" i="1"/>
  <c r="DG52" i="1"/>
  <c r="DF52" i="1"/>
  <c r="DE52" i="1"/>
  <c r="CZ52" i="1"/>
  <c r="CY52" i="1"/>
  <c r="BI52" i="1"/>
  <c r="BH52" i="1"/>
  <c r="BE52" i="1"/>
  <c r="BB52" i="1"/>
  <c r="BA52" i="1"/>
  <c r="AZ52" i="1"/>
  <c r="DW52" i="1" s="1"/>
  <c r="AU52" i="1"/>
  <c r="AS52" i="1"/>
  <c r="AP52" i="1"/>
  <c r="AO52" i="1"/>
  <c r="AN52" i="1"/>
  <c r="AL52" i="1"/>
  <c r="AJ52" i="1"/>
  <c r="AG52" i="1"/>
  <c r="AE52" i="1"/>
  <c r="AB52" i="1"/>
  <c r="Z52" i="1"/>
  <c r="X52" i="1"/>
  <c r="M52" i="1"/>
  <c r="I52" i="1"/>
  <c r="L52" i="1" s="1"/>
  <c r="E52" i="1"/>
  <c r="BU52" i="1" s="1"/>
  <c r="HF51" i="1"/>
  <c r="HC51" i="1"/>
  <c r="GY51" i="1"/>
  <c r="GZ51" i="1" s="1"/>
  <c r="GX51" i="1"/>
  <c r="GT51" i="1"/>
  <c r="GQ51" i="1"/>
  <c r="GJ51" i="1"/>
  <c r="GI51" i="1"/>
  <c r="GB51" i="1"/>
  <c r="GD51" i="1" s="1"/>
  <c r="GA51" i="1"/>
  <c r="FW51" i="1"/>
  <c r="FR51" i="1"/>
  <c r="GF51" i="1" s="1"/>
  <c r="FO51" i="1"/>
  <c r="FZ51" i="1" s="1"/>
  <c r="GC51" i="1" s="1"/>
  <c r="FK51" i="1"/>
  <c r="FJ51" i="1"/>
  <c r="EU51" i="1"/>
  <c r="ES51" i="1"/>
  <c r="EO51" i="1"/>
  <c r="EQ51" i="1" s="1"/>
  <c r="EN51" i="1"/>
  <c r="EJ51" i="1"/>
  <c r="EG51" i="1"/>
  <c r="ED51" i="1"/>
  <c r="EC51" i="1"/>
  <c r="DW51" i="1"/>
  <c r="DY51" i="1" s="1"/>
  <c r="DV51" i="1"/>
  <c r="DU51" i="1"/>
  <c r="DM51" i="1"/>
  <c r="DL51" i="1"/>
  <c r="DK51" i="1"/>
  <c r="DJ51" i="1"/>
  <c r="DG51" i="1"/>
  <c r="DF51" i="1"/>
  <c r="DE51" i="1"/>
  <c r="CZ51" i="1"/>
  <c r="DB51" i="1" s="1"/>
  <c r="CY51" i="1"/>
  <c r="CX51" i="1"/>
  <c r="DD51" i="1" s="1"/>
  <c r="CW51" i="1"/>
  <c r="DC51" i="1" s="1"/>
  <c r="CR51" i="1"/>
  <c r="CQ51" i="1"/>
  <c r="CP51" i="1"/>
  <c r="CO51" i="1"/>
  <c r="CJ51" i="1"/>
  <c r="CI51" i="1"/>
  <c r="CH51" i="1"/>
  <c r="CG51" i="1"/>
  <c r="CF51" i="1"/>
  <c r="CE51" i="1"/>
  <c r="CD51" i="1"/>
  <c r="CC51" i="1"/>
  <c r="CB51" i="1"/>
  <c r="BZ51" i="1"/>
  <c r="BY51" i="1"/>
  <c r="BX51" i="1"/>
  <c r="BV51" i="1"/>
  <c r="BU51" i="1"/>
  <c r="BT51" i="1"/>
  <c r="BR51" i="1"/>
  <c r="BQ51" i="1"/>
  <c r="BP51" i="1"/>
  <c r="BN51" i="1"/>
  <c r="BM51" i="1"/>
  <c r="BL51" i="1"/>
  <c r="BH51" i="1"/>
  <c r="BE51" i="1"/>
  <c r="AY51" i="1"/>
  <c r="EX51" i="1" s="1"/>
  <c r="AU51" i="1"/>
  <c r="AS51" i="1"/>
  <c r="AP51" i="1"/>
  <c r="AO51" i="1"/>
  <c r="AN51" i="1"/>
  <c r="AL51" i="1"/>
  <c r="AJ51" i="1"/>
  <c r="AG51" i="1"/>
  <c r="AE51" i="1"/>
  <c r="AB51" i="1"/>
  <c r="Z51" i="1"/>
  <c r="X51" i="1"/>
  <c r="M51" i="1"/>
  <c r="CT51" i="1" s="1"/>
  <c r="D51" i="1"/>
  <c r="CM51" i="1" s="1"/>
  <c r="HF50" i="1"/>
  <c r="FK50" i="1"/>
  <c r="FJ50" i="1"/>
  <c r="EU50" i="1"/>
  <c r="ES50" i="1"/>
  <c r="EO50" i="1"/>
  <c r="EN50" i="1"/>
  <c r="EJ50" i="1"/>
  <c r="EG50" i="1"/>
  <c r="DM50" i="1"/>
  <c r="DG50" i="1"/>
  <c r="DF50" i="1"/>
  <c r="DE50" i="1"/>
  <c r="CZ50" i="1"/>
  <c r="CY50" i="1"/>
  <c r="BI50" i="1"/>
  <c r="BH50" i="1"/>
  <c r="BE50" i="1"/>
  <c r="BB50" i="1"/>
  <c r="AZ50" i="1"/>
  <c r="EC50" i="1" s="1"/>
  <c r="AU50" i="1"/>
  <c r="AS50" i="1"/>
  <c r="AP50" i="1"/>
  <c r="AO50" i="1"/>
  <c r="AN50" i="1"/>
  <c r="AL50" i="1"/>
  <c r="AJ50" i="1"/>
  <c r="AG50" i="1"/>
  <c r="AE50" i="1"/>
  <c r="AB50" i="1"/>
  <c r="Z50" i="1"/>
  <c r="X50" i="1"/>
  <c r="M50" i="1"/>
  <c r="I50" i="1"/>
  <c r="BV50" i="1" s="1"/>
  <c r="E50" i="1"/>
  <c r="HF49" i="1"/>
  <c r="HC49" i="1"/>
  <c r="GY49" i="1"/>
  <c r="GZ49" i="1" s="1"/>
  <c r="GX49" i="1"/>
  <c r="GT49" i="1"/>
  <c r="GQ49" i="1"/>
  <c r="GJ49" i="1"/>
  <c r="GI49" i="1"/>
  <c r="GB49" i="1"/>
  <c r="GD49" i="1" s="1"/>
  <c r="GA49" i="1"/>
  <c r="FW49" i="1"/>
  <c r="FR49" i="1"/>
  <c r="GF49" i="1" s="1"/>
  <c r="FO49" i="1"/>
  <c r="FZ49" i="1" s="1"/>
  <c r="GC49" i="1" s="1"/>
  <c r="FK49" i="1"/>
  <c r="FJ49" i="1"/>
  <c r="EU49" i="1"/>
  <c r="ES49" i="1"/>
  <c r="EO49" i="1"/>
  <c r="EQ49" i="1" s="1"/>
  <c r="EN49" i="1"/>
  <c r="EJ49" i="1"/>
  <c r="EG49" i="1"/>
  <c r="ED49" i="1"/>
  <c r="EC49" i="1"/>
  <c r="DW49" i="1"/>
  <c r="DY49" i="1" s="1"/>
  <c r="DV49" i="1"/>
  <c r="DU49" i="1"/>
  <c r="DM49" i="1"/>
  <c r="DL49" i="1"/>
  <c r="DK49" i="1"/>
  <c r="DJ49" i="1"/>
  <c r="DG49" i="1"/>
  <c r="DF49" i="1"/>
  <c r="DE49" i="1"/>
  <c r="CZ49" i="1"/>
  <c r="DB49" i="1" s="1"/>
  <c r="CY49" i="1"/>
  <c r="CX49" i="1"/>
  <c r="DD49" i="1" s="1"/>
  <c r="CW49" i="1"/>
  <c r="DC49" i="1" s="1"/>
  <c r="CR49" i="1"/>
  <c r="CQ49" i="1"/>
  <c r="CP49" i="1"/>
  <c r="CO49" i="1"/>
  <c r="CJ49" i="1"/>
  <c r="CI49" i="1"/>
  <c r="CH49" i="1"/>
  <c r="CG49" i="1"/>
  <c r="CF49" i="1"/>
  <c r="CE49" i="1"/>
  <c r="CD49" i="1"/>
  <c r="CC49" i="1"/>
  <c r="CB49" i="1"/>
  <c r="BZ49" i="1"/>
  <c r="BY49" i="1"/>
  <c r="BX49" i="1"/>
  <c r="BV49" i="1"/>
  <c r="BU49" i="1"/>
  <c r="BT49" i="1"/>
  <c r="BR49" i="1"/>
  <c r="BQ49" i="1"/>
  <c r="BP49" i="1"/>
  <c r="BN49" i="1"/>
  <c r="BM49" i="1"/>
  <c r="BL49" i="1"/>
  <c r="BH49" i="1"/>
  <c r="BE49" i="1"/>
  <c r="AY49" i="1"/>
  <c r="EX49" i="1" s="1"/>
  <c r="AU49" i="1"/>
  <c r="AS49" i="1"/>
  <c r="AP49" i="1"/>
  <c r="AO49" i="1"/>
  <c r="AN49" i="1"/>
  <c r="AL49" i="1"/>
  <c r="AJ49" i="1"/>
  <c r="AG49" i="1"/>
  <c r="AE49" i="1"/>
  <c r="AB49" i="1"/>
  <c r="Z49" i="1"/>
  <c r="X49" i="1"/>
  <c r="M49" i="1"/>
  <c r="CT49" i="1" s="1"/>
  <c r="D49" i="1"/>
  <c r="CM49" i="1" s="1"/>
  <c r="FK43" i="1"/>
  <c r="FJ43" i="1"/>
  <c r="FF43" i="1"/>
  <c r="FE43" i="1"/>
  <c r="EU43" i="1"/>
  <c r="ES43" i="1"/>
  <c r="EO43" i="1"/>
  <c r="EN43" i="1"/>
  <c r="EJ43" i="1"/>
  <c r="EG43" i="1"/>
  <c r="ED43" i="1"/>
  <c r="EC43" i="1"/>
  <c r="DW43" i="1"/>
  <c r="DV43" i="1"/>
  <c r="DU43" i="1"/>
  <c r="BH43" i="1"/>
  <c r="BE43" i="1"/>
  <c r="AY43" i="1"/>
  <c r="EX43" i="1" s="1"/>
  <c r="AU43" i="1"/>
  <c r="AS43" i="1"/>
  <c r="AG43" i="1"/>
  <c r="AE43" i="1"/>
  <c r="FK42" i="1"/>
  <c r="FJ42" i="1"/>
  <c r="FF42" i="1"/>
  <c r="FE42" i="1"/>
  <c r="EU42" i="1"/>
  <c r="ES42" i="1"/>
  <c r="EO42" i="1"/>
  <c r="EN42" i="1"/>
  <c r="EJ42" i="1"/>
  <c r="EG42" i="1"/>
  <c r="DX42" i="1"/>
  <c r="BH42" i="1"/>
  <c r="BE42" i="1"/>
  <c r="BB42" i="1"/>
  <c r="BA42" i="1"/>
  <c r="AZ42" i="1"/>
  <c r="EC42" i="1" s="1"/>
  <c r="AU42" i="1"/>
  <c r="AS42" i="1"/>
  <c r="AG42" i="1"/>
  <c r="AE42" i="1"/>
  <c r="GJ41" i="1"/>
  <c r="GB41" i="1"/>
  <c r="GD41" i="1" s="1"/>
  <c r="GA41" i="1"/>
  <c r="FW41" i="1"/>
  <c r="FR41" i="1"/>
  <c r="FY41" i="1" s="1"/>
  <c r="FO41" i="1"/>
  <c r="FZ41" i="1" s="1"/>
  <c r="GC41" i="1" s="1"/>
  <c r="FK41" i="1"/>
  <c r="FJ41" i="1"/>
  <c r="FF41" i="1"/>
  <c r="EU41" i="1"/>
  <c r="EO41" i="1"/>
  <c r="EQ41" i="1" s="1"/>
  <c r="EN41" i="1"/>
  <c r="EJ41" i="1"/>
  <c r="EG41" i="1"/>
  <c r="ED41" i="1"/>
  <c r="EC41" i="1"/>
  <c r="DW41" i="1"/>
  <c r="DY41" i="1" s="1"/>
  <c r="DV41" i="1"/>
  <c r="DU41" i="1"/>
  <c r="BH41" i="1"/>
  <c r="BE41" i="1"/>
  <c r="AY41" i="1"/>
  <c r="EY41" i="1" s="1"/>
  <c r="AU41" i="1"/>
  <c r="AG41" i="1"/>
  <c r="FR40" i="1"/>
  <c r="FO40" i="1"/>
  <c r="EU40" i="1"/>
  <c r="EJ40" i="1"/>
  <c r="EG40" i="1"/>
  <c r="DX40" i="1"/>
  <c r="DU40" i="1"/>
  <c r="DM40" i="1"/>
  <c r="DL40" i="1"/>
  <c r="DK40" i="1"/>
  <c r="DJ40" i="1"/>
  <c r="DF40" i="1"/>
  <c r="DE40" i="1"/>
  <c r="CU40" i="1"/>
  <c r="CT40" i="1"/>
  <c r="CS40" i="1"/>
  <c r="CR40" i="1"/>
  <c r="CQ40" i="1"/>
  <c r="CP40" i="1"/>
  <c r="CO40" i="1"/>
  <c r="CN40" i="1"/>
  <c r="CV40" i="1" s="1"/>
  <c r="CM40" i="1"/>
  <c r="CL40" i="1"/>
  <c r="CK40" i="1"/>
  <c r="CJ40" i="1"/>
  <c r="CI40" i="1"/>
  <c r="CH40" i="1"/>
  <c r="CG40" i="1"/>
  <c r="CF40" i="1"/>
  <c r="CE40" i="1"/>
  <c r="CD40" i="1"/>
  <c r="BV40" i="1"/>
  <c r="BU40" i="1"/>
  <c r="BT40" i="1"/>
  <c r="BR40" i="1"/>
  <c r="BQ40" i="1"/>
  <c r="BP40" i="1"/>
  <c r="BN40" i="1"/>
  <c r="BM40" i="1"/>
  <c r="BL40" i="1"/>
  <c r="BH40" i="1"/>
  <c r="BE40" i="1"/>
  <c r="AY40" i="1"/>
  <c r="EY40" i="1" s="1"/>
  <c r="AU40" i="1"/>
  <c r="AS40" i="1"/>
  <c r="AP40" i="1"/>
  <c r="AO40" i="1"/>
  <c r="AN40" i="1"/>
  <c r="AL40" i="1"/>
  <c r="AJ40" i="1"/>
  <c r="AG40" i="1"/>
  <c r="AE40" i="1"/>
  <c r="AB40" i="1"/>
  <c r="Z40" i="1"/>
  <c r="X40" i="1"/>
  <c r="HC35" i="1"/>
  <c r="GQ35" i="1"/>
  <c r="HF30" i="1"/>
  <c r="FT30" i="1"/>
  <c r="FQ30" i="1"/>
  <c r="FL30" i="1"/>
  <c r="EU30" i="1"/>
  <c r="ES30" i="1"/>
  <c r="EO30" i="1"/>
  <c r="EN30" i="1"/>
  <c r="EJ30" i="1"/>
  <c r="EG30" i="1"/>
  <c r="DX30" i="1"/>
  <c r="DM30" i="1"/>
  <c r="DG30" i="1"/>
  <c r="DF30" i="1"/>
  <c r="DE30" i="1"/>
  <c r="CZ30" i="1"/>
  <c r="CY30" i="1"/>
  <c r="BI30" i="1"/>
  <c r="BH30" i="1"/>
  <c r="BE30" i="1"/>
  <c r="BB30" i="1"/>
  <c r="BA30" i="1"/>
  <c r="AZ30" i="1"/>
  <c r="DW30" i="1" s="1"/>
  <c r="AU30" i="1"/>
  <c r="AS30" i="1"/>
  <c r="AP30" i="1"/>
  <c r="AO30" i="1"/>
  <c r="AN30" i="1"/>
  <c r="AL30" i="1"/>
  <c r="AJ30" i="1"/>
  <c r="AG30" i="1"/>
  <c r="AE30" i="1"/>
  <c r="AB30" i="1"/>
  <c r="Z30" i="1"/>
  <c r="X30" i="1"/>
  <c r="M30" i="1"/>
  <c r="I30" i="1"/>
  <c r="J30" i="1" s="1"/>
  <c r="E30" i="1"/>
  <c r="BU30" i="1" s="1"/>
  <c r="HF29" i="1"/>
  <c r="HC29" i="1"/>
  <c r="GY29" i="1"/>
  <c r="GZ29" i="1" s="1"/>
  <c r="GX29" i="1"/>
  <c r="GT29" i="1"/>
  <c r="GQ29" i="1"/>
  <c r="FR29" i="1"/>
  <c r="FY29" i="1" s="1"/>
  <c r="FO29" i="1"/>
  <c r="FQ29" i="1" s="1"/>
  <c r="FK29" i="1"/>
  <c r="FJ29" i="1"/>
  <c r="EU29" i="1"/>
  <c r="ES29" i="1"/>
  <c r="EO29" i="1"/>
  <c r="EQ29" i="1" s="1"/>
  <c r="EN29" i="1"/>
  <c r="EJ29" i="1"/>
  <c r="EG29" i="1"/>
  <c r="ED29" i="1"/>
  <c r="EC29" i="1"/>
  <c r="DX29" i="1"/>
  <c r="DW29" i="1"/>
  <c r="DY29" i="1" s="1"/>
  <c r="DV29" i="1"/>
  <c r="DU29" i="1"/>
  <c r="DM29" i="1"/>
  <c r="DL29" i="1"/>
  <c r="DK29" i="1"/>
  <c r="DJ29" i="1"/>
  <c r="DG29" i="1"/>
  <c r="DF29" i="1"/>
  <c r="DE29" i="1"/>
  <c r="CZ29" i="1"/>
  <c r="DB29" i="1" s="1"/>
  <c r="CY29" i="1"/>
  <c r="CX29" i="1"/>
  <c r="DA29" i="1" s="1"/>
  <c r="CW29" i="1"/>
  <c r="DC29" i="1" s="1"/>
  <c r="CJ29" i="1"/>
  <c r="CI29" i="1"/>
  <c r="CH29" i="1"/>
  <c r="CG29" i="1"/>
  <c r="CF29" i="1"/>
  <c r="BV29" i="1"/>
  <c r="BU29" i="1"/>
  <c r="BT29" i="1"/>
  <c r="BR29" i="1"/>
  <c r="BQ29" i="1"/>
  <c r="BP29" i="1"/>
  <c r="BN29" i="1"/>
  <c r="BM29" i="1"/>
  <c r="BL29" i="1"/>
  <c r="BH29" i="1"/>
  <c r="BE29" i="1"/>
  <c r="AY29" i="1"/>
  <c r="AU29" i="1"/>
  <c r="AS29" i="1"/>
  <c r="AP29" i="1"/>
  <c r="AO29" i="1"/>
  <c r="AN29" i="1"/>
  <c r="AL29" i="1"/>
  <c r="AJ29" i="1"/>
  <c r="AG29" i="1"/>
  <c r="AE29" i="1"/>
  <c r="AB29" i="1"/>
  <c r="Z29" i="1"/>
  <c r="X29" i="1"/>
  <c r="R29" i="1"/>
  <c r="N29" i="1"/>
  <c r="CR29" i="1" s="1"/>
  <c r="D29" i="1"/>
  <c r="CN29" i="1" s="1"/>
  <c r="CV29" i="1" s="1"/>
  <c r="HF28" i="1"/>
  <c r="FT28" i="1"/>
  <c r="FQ28" i="1"/>
  <c r="FL28" i="1"/>
  <c r="EU28" i="1"/>
  <c r="ES28" i="1"/>
  <c r="EO28" i="1"/>
  <c r="EN28" i="1"/>
  <c r="EJ28" i="1"/>
  <c r="EG28" i="1"/>
  <c r="DX28" i="1"/>
  <c r="DM28" i="1"/>
  <c r="DG28" i="1"/>
  <c r="DF28" i="1"/>
  <c r="DE28" i="1"/>
  <c r="CZ28" i="1"/>
  <c r="CY28" i="1"/>
  <c r="BI28" i="1"/>
  <c r="BH28" i="1"/>
  <c r="BE28" i="1"/>
  <c r="BB28" i="1"/>
  <c r="AZ28" i="1"/>
  <c r="DW28" i="1" s="1"/>
  <c r="AU28" i="1"/>
  <c r="AS28" i="1"/>
  <c r="AP28" i="1"/>
  <c r="AO28" i="1"/>
  <c r="AN28" i="1"/>
  <c r="AL28" i="1"/>
  <c r="AJ28" i="1"/>
  <c r="AG28" i="1"/>
  <c r="AE28" i="1"/>
  <c r="AB28" i="1"/>
  <c r="Z28" i="1"/>
  <c r="X28" i="1"/>
  <c r="M28" i="1"/>
  <c r="I28" i="1"/>
  <c r="E28" i="1"/>
  <c r="HF27" i="1"/>
  <c r="HC27" i="1"/>
  <c r="GY27" i="1"/>
  <c r="GZ27" i="1" s="1"/>
  <c r="GX27" i="1"/>
  <c r="GT27" i="1"/>
  <c r="GQ27" i="1"/>
  <c r="FR27" i="1"/>
  <c r="FY27" i="1" s="1"/>
  <c r="FO27" i="1"/>
  <c r="FZ27" i="1" s="1"/>
  <c r="GC27" i="1" s="1"/>
  <c r="FK27" i="1"/>
  <c r="FJ27" i="1"/>
  <c r="EU27" i="1"/>
  <c r="ES27" i="1"/>
  <c r="EO27" i="1"/>
  <c r="EQ27" i="1" s="1"/>
  <c r="EN27" i="1"/>
  <c r="EJ27" i="1"/>
  <c r="EG27" i="1"/>
  <c r="ED27" i="1"/>
  <c r="EC27" i="1"/>
  <c r="DX27" i="1"/>
  <c r="DW27" i="1"/>
  <c r="DY27" i="1" s="1"/>
  <c r="DV27" i="1"/>
  <c r="DU27" i="1"/>
  <c r="DM27" i="1"/>
  <c r="DL27" i="1"/>
  <c r="DK27" i="1"/>
  <c r="DJ27" i="1"/>
  <c r="DG27" i="1"/>
  <c r="DF27" i="1"/>
  <c r="DE27" i="1"/>
  <c r="CZ27" i="1"/>
  <c r="DB27" i="1" s="1"/>
  <c r="CY27" i="1"/>
  <c r="CX27" i="1"/>
  <c r="CW27" i="1"/>
  <c r="DC27" i="1" s="1"/>
  <c r="BH27" i="1"/>
  <c r="BE27" i="1"/>
  <c r="AY27" i="1"/>
  <c r="EX27" i="1" s="1"/>
  <c r="AU27" i="1"/>
  <c r="AS27" i="1"/>
  <c r="AP27" i="1"/>
  <c r="AO27" i="1"/>
  <c r="AN27" i="1"/>
  <c r="AL27" i="1"/>
  <c r="AJ27" i="1"/>
  <c r="AG27" i="1"/>
  <c r="AE27" i="1"/>
  <c r="AB27" i="1"/>
  <c r="Z27" i="1"/>
  <c r="X27" i="1"/>
  <c r="I27" i="1"/>
  <c r="CG27" i="1" s="1"/>
  <c r="E27" i="1"/>
  <c r="FT26" i="1"/>
  <c r="FQ26" i="1"/>
  <c r="FL26" i="1"/>
  <c r="EU26" i="1"/>
  <c r="ES26" i="1"/>
  <c r="EO26" i="1"/>
  <c r="EN26" i="1"/>
  <c r="EJ26" i="1"/>
  <c r="EG26" i="1"/>
  <c r="DX26" i="1"/>
  <c r="DM26" i="1"/>
  <c r="DG26" i="1"/>
  <c r="DF26" i="1"/>
  <c r="DE26" i="1"/>
  <c r="CZ26" i="1"/>
  <c r="CY26" i="1"/>
  <c r="BI26" i="1"/>
  <c r="BH26" i="1"/>
  <c r="BE26" i="1"/>
  <c r="BB26" i="1"/>
  <c r="BA26" i="1"/>
  <c r="AZ26" i="1"/>
  <c r="DW26" i="1" s="1"/>
  <c r="AU26" i="1"/>
  <c r="AS26" i="1"/>
  <c r="AP26" i="1"/>
  <c r="AO26" i="1"/>
  <c r="AN26" i="1"/>
  <c r="AL26" i="1"/>
  <c r="AJ26" i="1"/>
  <c r="AG26" i="1"/>
  <c r="AE26" i="1"/>
  <c r="AB26" i="1"/>
  <c r="Z26" i="1"/>
  <c r="X26" i="1"/>
  <c r="M26" i="1"/>
  <c r="I26" i="1"/>
  <c r="E26" i="1"/>
  <c r="FR25" i="1"/>
  <c r="FO25" i="1"/>
  <c r="FK25" i="1"/>
  <c r="FJ25" i="1"/>
  <c r="EU25" i="1"/>
  <c r="ES25" i="1"/>
  <c r="EO25" i="1"/>
  <c r="EQ25" i="1" s="1"/>
  <c r="EN25" i="1"/>
  <c r="EJ25" i="1"/>
  <c r="EG25" i="1"/>
  <c r="ED25" i="1"/>
  <c r="EC25" i="1"/>
  <c r="DW25" i="1"/>
  <c r="DY25" i="1" s="1"/>
  <c r="DV25" i="1"/>
  <c r="DU25" i="1"/>
  <c r="DM25" i="1"/>
  <c r="DL25" i="1"/>
  <c r="DK25" i="1"/>
  <c r="DJ25" i="1"/>
  <c r="DG25" i="1"/>
  <c r="DF25" i="1"/>
  <c r="DE25" i="1"/>
  <c r="CZ25" i="1"/>
  <c r="DB25" i="1" s="1"/>
  <c r="CY25" i="1"/>
  <c r="CX25" i="1"/>
  <c r="DA25" i="1" s="1"/>
  <c r="CW25" i="1"/>
  <c r="DC25" i="1" s="1"/>
  <c r="CJ25" i="1"/>
  <c r="CI25" i="1"/>
  <c r="CH25" i="1"/>
  <c r="CG25" i="1"/>
  <c r="CF25" i="1"/>
  <c r="BV25" i="1"/>
  <c r="BU25" i="1"/>
  <c r="BT25" i="1"/>
  <c r="BR25" i="1"/>
  <c r="BQ25" i="1"/>
  <c r="BP25" i="1"/>
  <c r="BN25" i="1"/>
  <c r="BM25" i="1"/>
  <c r="BL25" i="1"/>
  <c r="BH25" i="1"/>
  <c r="BE25" i="1"/>
  <c r="AY25" i="1"/>
  <c r="EY25" i="1" s="1"/>
  <c r="AU25" i="1"/>
  <c r="AS25" i="1"/>
  <c r="AP25" i="1"/>
  <c r="AO25" i="1"/>
  <c r="AN25" i="1"/>
  <c r="AL25" i="1"/>
  <c r="AJ25" i="1"/>
  <c r="AG25" i="1"/>
  <c r="AE25" i="1"/>
  <c r="AB25" i="1"/>
  <c r="Z25" i="1"/>
  <c r="X25" i="1"/>
  <c r="R25" i="1"/>
  <c r="CO25" i="1" s="1"/>
  <c r="N25" i="1"/>
  <c r="CQ25" i="1" s="1"/>
  <c r="D25" i="1"/>
  <c r="CM25" i="1" s="1"/>
  <c r="HF24" i="1"/>
  <c r="FQ24" i="1"/>
  <c r="FK24" i="1"/>
  <c r="FJ24" i="1"/>
  <c r="EU24" i="1"/>
  <c r="ES24" i="1"/>
  <c r="EO24" i="1"/>
  <c r="EQ24" i="1" s="1"/>
  <c r="EN24" i="1"/>
  <c r="EJ24" i="1"/>
  <c r="EG24" i="1"/>
  <c r="ED24" i="1"/>
  <c r="EC24" i="1"/>
  <c r="DW24" i="1"/>
  <c r="DY24" i="1" s="1"/>
  <c r="DV24" i="1"/>
  <c r="DU24" i="1"/>
  <c r="BH24" i="1"/>
  <c r="BE24" i="1"/>
  <c r="AY24" i="1"/>
  <c r="EX24" i="1" s="1"/>
  <c r="AU24" i="1"/>
  <c r="AS24" i="1"/>
  <c r="AG24" i="1"/>
  <c r="HF23" i="1"/>
  <c r="FT23" i="1"/>
  <c r="FQ23" i="1"/>
  <c r="FL23" i="1"/>
  <c r="EU23" i="1"/>
  <c r="ES23" i="1"/>
  <c r="EO23" i="1"/>
  <c r="EN23" i="1"/>
  <c r="EJ23" i="1"/>
  <c r="EG23" i="1"/>
  <c r="BH23" i="1"/>
  <c r="BE23" i="1"/>
  <c r="BB23" i="1"/>
  <c r="BA23" i="1"/>
  <c r="AZ23" i="1"/>
  <c r="AU23" i="1"/>
  <c r="AS23" i="1"/>
  <c r="AG23" i="1"/>
  <c r="HF22" i="1"/>
  <c r="FT22" i="1"/>
  <c r="FQ22" i="1"/>
  <c r="FJ22" i="1"/>
  <c r="FL22" i="1" s="1"/>
  <c r="EU22" i="1"/>
  <c r="ES22" i="1"/>
  <c r="EO22" i="1"/>
  <c r="EN22" i="1"/>
  <c r="EJ22" i="1"/>
  <c r="EG22" i="1"/>
  <c r="DX22" i="1"/>
  <c r="BH22" i="1"/>
  <c r="BE22" i="1"/>
  <c r="BB22" i="1"/>
  <c r="BA22" i="1"/>
  <c r="AZ22" i="1"/>
  <c r="ED22" i="1" s="1"/>
  <c r="AU22" i="1"/>
  <c r="AS22" i="1"/>
  <c r="AG22" i="1"/>
  <c r="HF21" i="1"/>
  <c r="FT21" i="1"/>
  <c r="FQ21" i="1"/>
  <c r="FK21" i="1"/>
  <c r="FJ21" i="1"/>
  <c r="FD21" i="1"/>
  <c r="FA21" i="1"/>
  <c r="EU21" i="1"/>
  <c r="ES21" i="1"/>
  <c r="EO21" i="1"/>
  <c r="EN21" i="1"/>
  <c r="EJ21" i="1"/>
  <c r="EG21" i="1"/>
  <c r="DX21" i="1"/>
  <c r="CZ21" i="1"/>
  <c r="CY21" i="1"/>
  <c r="BH21" i="1"/>
  <c r="BE21" i="1"/>
  <c r="BB21" i="1"/>
  <c r="BA21" i="1"/>
  <c r="AZ21" i="1"/>
  <c r="ED21" i="1" s="1"/>
  <c r="AU21" i="1"/>
  <c r="AS21" i="1"/>
  <c r="AG21" i="1"/>
  <c r="AE21" i="1"/>
  <c r="HF20" i="1"/>
  <c r="HC20" i="1"/>
  <c r="GY20" i="1"/>
  <c r="GZ20" i="1" s="1"/>
  <c r="GX20" i="1"/>
  <c r="GT20" i="1"/>
  <c r="GQ20" i="1"/>
  <c r="GJ20" i="1"/>
  <c r="GI20" i="1"/>
  <c r="GB20" i="1"/>
  <c r="GD20" i="1" s="1"/>
  <c r="GA20" i="1"/>
  <c r="FW20" i="1"/>
  <c r="FR20" i="1"/>
  <c r="GF20" i="1" s="1"/>
  <c r="FO20" i="1"/>
  <c r="FZ20" i="1" s="1"/>
  <c r="FK20" i="1"/>
  <c r="FJ20" i="1"/>
  <c r="EU20" i="1"/>
  <c r="ES20" i="1"/>
  <c r="EO20" i="1"/>
  <c r="EQ20" i="1" s="1"/>
  <c r="EN20" i="1"/>
  <c r="EJ20" i="1"/>
  <c r="EG20" i="1"/>
  <c r="ED20" i="1"/>
  <c r="EC20" i="1"/>
  <c r="DW20" i="1"/>
  <c r="DY20" i="1" s="1"/>
  <c r="DV20" i="1"/>
  <c r="DU20" i="1"/>
  <c r="CZ20" i="1"/>
  <c r="CY20" i="1"/>
  <c r="BH20" i="1"/>
  <c r="BE20" i="1"/>
  <c r="AY20" i="1"/>
  <c r="EY20" i="1" s="1"/>
  <c r="AU20" i="1"/>
  <c r="AG20" i="1"/>
  <c r="HF19" i="1"/>
  <c r="FT19" i="1"/>
  <c r="FQ19" i="1"/>
  <c r="FK19" i="1"/>
  <c r="FJ19" i="1"/>
  <c r="EY19" i="1"/>
  <c r="EX19" i="1"/>
  <c r="EU19" i="1"/>
  <c r="ES19" i="1"/>
  <c r="EO19" i="1"/>
  <c r="EN19" i="1"/>
  <c r="EJ19" i="1"/>
  <c r="EG19" i="1"/>
  <c r="ED19" i="1"/>
  <c r="EC19" i="1"/>
  <c r="EA19" i="1"/>
  <c r="DZ19" i="1"/>
  <c r="DW19" i="1"/>
  <c r="DV19" i="1"/>
  <c r="DU19" i="1"/>
  <c r="DS19" i="1"/>
  <c r="DS20" i="1" s="1"/>
  <c r="CZ19" i="1"/>
  <c r="CY19" i="1"/>
  <c r="BH19" i="1"/>
  <c r="BE19" i="1"/>
  <c r="AU19" i="1"/>
  <c r="AS19" i="1"/>
  <c r="AG19" i="1"/>
  <c r="HF18" i="1"/>
  <c r="FT18" i="1"/>
  <c r="FQ18" i="1"/>
  <c r="CZ18" i="1"/>
  <c r="CY18" i="1"/>
  <c r="FT17" i="1"/>
  <c r="FQ17" i="1"/>
  <c r="FN17" i="1"/>
  <c r="FM17" i="1"/>
  <c r="FK17" i="1"/>
  <c r="FJ17" i="1"/>
  <c r="EU17" i="1"/>
  <c r="ES17" i="1"/>
  <c r="EO17" i="1"/>
  <c r="EN17" i="1"/>
  <c r="EJ17" i="1"/>
  <c r="EG17" i="1"/>
  <c r="ED17" i="1"/>
  <c r="EC17" i="1"/>
  <c r="DX17" i="1"/>
  <c r="DW17" i="1"/>
  <c r="DV17" i="1"/>
  <c r="DU17" i="1"/>
  <c r="CZ17" i="1"/>
  <c r="DB17" i="1" s="1"/>
  <c r="CY17" i="1"/>
  <c r="BI17" i="1"/>
  <c r="BH17" i="1"/>
  <c r="BE17" i="1"/>
  <c r="AY17" i="1"/>
  <c r="EX17" i="1" s="1"/>
  <c r="AU17" i="1"/>
  <c r="AS17" i="1"/>
  <c r="AG17" i="1"/>
  <c r="AE17" i="1"/>
  <c r="GJ16" i="1"/>
  <c r="GB16" i="1"/>
  <c r="GD16" i="1" s="1"/>
  <c r="GA16" i="1"/>
  <c r="FW16" i="1"/>
  <c r="FV16" i="1"/>
  <c r="FR16" i="1"/>
  <c r="FY16" i="1" s="1"/>
  <c r="FO16" i="1"/>
  <c r="FZ16" i="1" s="1"/>
  <c r="GC16" i="1" s="1"/>
  <c r="FK16" i="1"/>
  <c r="FJ16" i="1"/>
  <c r="EU16" i="1"/>
  <c r="EO16" i="1"/>
  <c r="EQ16" i="1" s="1"/>
  <c r="EN16" i="1"/>
  <c r="EJ16" i="1"/>
  <c r="EG16" i="1"/>
  <c r="ED16" i="1"/>
  <c r="EC16" i="1"/>
  <c r="DW16" i="1"/>
  <c r="DY16" i="1" s="1"/>
  <c r="DV16" i="1"/>
  <c r="DU16" i="1"/>
  <c r="CZ16" i="1"/>
  <c r="CY16" i="1"/>
  <c r="BH16" i="1"/>
  <c r="BE16" i="1"/>
  <c r="AY16" i="1"/>
  <c r="EX16" i="1" s="1"/>
  <c r="AU16" i="1"/>
  <c r="AG16" i="1"/>
  <c r="FR15" i="1"/>
  <c r="FO15" i="1"/>
  <c r="EU15" i="1"/>
  <c r="EJ15" i="1"/>
  <c r="EG15" i="1"/>
  <c r="DX15" i="1"/>
  <c r="DU15" i="1"/>
  <c r="DM15" i="1"/>
  <c r="DL15" i="1"/>
  <c r="DK15" i="1"/>
  <c r="DJ15" i="1"/>
  <c r="DF15" i="1"/>
  <c r="DE15" i="1"/>
  <c r="CU15" i="1"/>
  <c r="CT15" i="1"/>
  <c r="CS15" i="1"/>
  <c r="CR15" i="1"/>
  <c r="CQ15" i="1"/>
  <c r="CP15" i="1"/>
  <c r="CO15" i="1"/>
  <c r="CN15" i="1"/>
  <c r="CV15" i="1" s="1"/>
  <c r="CM15" i="1"/>
  <c r="CL15" i="1"/>
  <c r="CK15" i="1"/>
  <c r="CJ15" i="1"/>
  <c r="CI15" i="1"/>
  <c r="CH15" i="1"/>
  <c r="CG15" i="1"/>
  <c r="CF15" i="1"/>
  <c r="CE15" i="1"/>
  <c r="CD15" i="1"/>
  <c r="BZ15" i="1"/>
  <c r="BV15" i="1"/>
  <c r="BU15" i="1"/>
  <c r="BT15" i="1"/>
  <c r="BR15" i="1"/>
  <c r="BQ15" i="1"/>
  <c r="BP15" i="1"/>
  <c r="BN15" i="1"/>
  <c r="BM15" i="1"/>
  <c r="BL15" i="1"/>
  <c r="BH15" i="1"/>
  <c r="BE15" i="1"/>
  <c r="AY15" i="1"/>
  <c r="EY15" i="1" s="1"/>
  <c r="AU15" i="1"/>
  <c r="AS15" i="1"/>
  <c r="AP15" i="1"/>
  <c r="AO15" i="1"/>
  <c r="AN15" i="1"/>
  <c r="AL15" i="1"/>
  <c r="AJ15" i="1"/>
  <c r="AG15" i="1"/>
  <c r="AE15" i="1"/>
  <c r="AB15" i="1"/>
  <c r="Z15" i="1"/>
  <c r="X15" i="1"/>
  <c r="HF12" i="1"/>
  <c r="GY12" i="1"/>
  <c r="GX12" i="1"/>
  <c r="GW12" i="1"/>
  <c r="GV12" i="1"/>
  <c r="GB12" i="1"/>
  <c r="GA12" i="1"/>
  <c r="FZ12" i="1"/>
  <c r="GC12" i="1" s="1"/>
  <c r="FY12" i="1"/>
  <c r="FW12" i="1"/>
  <c r="FQ12" i="1"/>
  <c r="HF11" i="1"/>
  <c r="GY11" i="1"/>
  <c r="GX11" i="1"/>
  <c r="GW11" i="1"/>
  <c r="GV11" i="1"/>
  <c r="GB11" i="1"/>
  <c r="GA11" i="1"/>
  <c r="FZ11" i="1"/>
  <c r="GC11" i="1" s="1"/>
  <c r="FY11" i="1"/>
  <c r="FW11" i="1"/>
  <c r="FT11" i="1"/>
  <c r="HF10" i="1"/>
  <c r="HC10" i="1"/>
  <c r="GY10" i="1"/>
  <c r="GZ10" i="1" s="1"/>
  <c r="GX10" i="1"/>
  <c r="GT10" i="1"/>
  <c r="GQ10" i="1"/>
  <c r="GJ10" i="1"/>
  <c r="GI10" i="1"/>
  <c r="GB10" i="1"/>
  <c r="GD10" i="1" s="1"/>
  <c r="GA10" i="1"/>
  <c r="FW10" i="1"/>
  <c r="FR10" i="1"/>
  <c r="GF10" i="1" s="1"/>
  <c r="FO10" i="1"/>
  <c r="FZ10" i="1" s="1"/>
  <c r="GC10" i="1" s="1"/>
  <c r="FK10" i="1"/>
  <c r="FJ10" i="1"/>
  <c r="EU10" i="1"/>
  <c r="ES10" i="1"/>
  <c r="EO10" i="1"/>
  <c r="EQ10" i="1" s="1"/>
  <c r="EN10" i="1"/>
  <c r="EJ10" i="1"/>
  <c r="EG10" i="1"/>
  <c r="ED10" i="1"/>
  <c r="EC10" i="1"/>
  <c r="DW10" i="1"/>
  <c r="DY10" i="1" s="1"/>
  <c r="DV10" i="1"/>
  <c r="DU10" i="1"/>
  <c r="DM10" i="1"/>
  <c r="DL10" i="1"/>
  <c r="DK10" i="1"/>
  <c r="DJ10" i="1"/>
  <c r="DG10" i="1"/>
  <c r="DF10" i="1"/>
  <c r="DE10" i="1"/>
  <c r="CZ10" i="1"/>
  <c r="DB10" i="1" s="1"/>
  <c r="CY10" i="1"/>
  <c r="CX10" i="1"/>
  <c r="DD10" i="1" s="1"/>
  <c r="CW10" i="1"/>
  <c r="DC10" i="1" s="1"/>
  <c r="CJ10" i="1"/>
  <c r="CI10" i="1"/>
  <c r="CH10" i="1"/>
  <c r="CG10" i="1"/>
  <c r="CF10" i="1"/>
  <c r="BV10" i="1"/>
  <c r="BU10" i="1"/>
  <c r="BT10" i="1"/>
  <c r="BR10" i="1"/>
  <c r="BQ10" i="1"/>
  <c r="BP10" i="1"/>
  <c r="BN10" i="1"/>
  <c r="BM10" i="1"/>
  <c r="BL10" i="1"/>
  <c r="BH10" i="1"/>
  <c r="BE10" i="1"/>
  <c r="AY10" i="1"/>
  <c r="EX10" i="1" s="1"/>
  <c r="AU10" i="1"/>
  <c r="AS10" i="1"/>
  <c r="AP10" i="1"/>
  <c r="AO10" i="1"/>
  <c r="AN10" i="1"/>
  <c r="AL10" i="1"/>
  <c r="AJ10" i="1"/>
  <c r="AG10" i="1"/>
  <c r="AE10" i="1"/>
  <c r="AB10" i="1"/>
  <c r="Z10" i="1"/>
  <c r="X10" i="1"/>
  <c r="R10" i="1"/>
  <c r="CP10" i="1" s="1"/>
  <c r="N10" i="1"/>
  <c r="CQ10" i="1" s="1"/>
  <c r="D10" i="1"/>
  <c r="CM10" i="1" s="1"/>
  <c r="HF9" i="1"/>
  <c r="HA9" i="1"/>
  <c r="GT9" i="1"/>
  <c r="GN9" i="1"/>
  <c r="GM9" i="1"/>
  <c r="GJ9" i="1"/>
  <c r="GI9" i="1"/>
  <c r="GF9" i="1"/>
  <c r="GE9" i="1"/>
  <c r="GB9" i="1"/>
  <c r="GA9" i="1"/>
  <c r="FZ9" i="1"/>
  <c r="FY9" i="1"/>
  <c r="FW9" i="1"/>
  <c r="FV9" i="1"/>
  <c r="FT9" i="1"/>
  <c r="FQ9" i="1"/>
  <c r="FK9" i="1"/>
  <c r="FJ9" i="1"/>
  <c r="EU9" i="1"/>
  <c r="ES9" i="1"/>
  <c r="EO9" i="1"/>
  <c r="EN9" i="1"/>
  <c r="EJ9" i="1"/>
  <c r="EG9" i="1"/>
  <c r="ED9" i="1"/>
  <c r="EC9" i="1"/>
  <c r="DX9" i="1"/>
  <c r="DW9" i="1"/>
  <c r="DV9" i="1"/>
  <c r="DU9" i="1"/>
  <c r="DT9" i="1"/>
  <c r="DG9" i="1"/>
  <c r="DF9" i="1"/>
  <c r="DE9" i="1"/>
  <c r="CZ9" i="1"/>
  <c r="CY9" i="1"/>
  <c r="BI9" i="1"/>
  <c r="BH9" i="1"/>
  <c r="BE9" i="1"/>
  <c r="AY9" i="1"/>
  <c r="EX9" i="1" s="1"/>
  <c r="AU9" i="1"/>
  <c r="AS9" i="1"/>
  <c r="AP9" i="1"/>
  <c r="AO9" i="1"/>
  <c r="AN9" i="1"/>
  <c r="AL9" i="1"/>
  <c r="AJ9" i="1"/>
  <c r="AG9" i="1"/>
  <c r="AE9" i="1"/>
  <c r="AB9" i="1"/>
  <c r="Z9" i="1"/>
  <c r="X9" i="1"/>
  <c r="R9" i="1"/>
  <c r="CD9" i="1" s="1"/>
  <c r="N9" i="1"/>
  <c r="L9" i="1"/>
  <c r="K9" i="1"/>
  <c r="J9" i="1"/>
  <c r="I9" i="1"/>
  <c r="H9" i="1"/>
  <c r="G9" i="1"/>
  <c r="F9" i="1"/>
  <c r="E9" i="1"/>
  <c r="BP9" i="1" s="1"/>
  <c r="GD8" i="1"/>
  <c r="GC8" i="1"/>
  <c r="FX8" i="1"/>
  <c r="FR8" i="1"/>
  <c r="FO8" i="1"/>
  <c r="EJ8" i="1"/>
  <c r="EG8" i="1"/>
  <c r="ED8" i="1"/>
  <c r="EC8" i="1"/>
  <c r="DW8" i="1"/>
  <c r="DY8" i="1" s="1"/>
  <c r="DV8" i="1"/>
  <c r="DD8" i="1"/>
  <c r="DC8" i="1"/>
  <c r="DB8" i="1"/>
  <c r="DA8" i="1"/>
  <c r="BH8" i="1"/>
  <c r="BE8" i="1"/>
  <c r="AY8" i="1"/>
  <c r="DZ8" i="1" s="1"/>
  <c r="AS8" i="1"/>
  <c r="AE8" i="1"/>
  <c r="D8" i="1"/>
  <c r="HD7" i="1"/>
  <c r="GR7" i="1"/>
  <c r="FR7" i="1"/>
  <c r="FO7" i="1"/>
  <c r="DX7" i="1"/>
  <c r="BH7" i="1"/>
  <c r="BE7" i="1"/>
  <c r="AN6" i="1"/>
  <c r="AO6" i="1" s="1"/>
  <c r="AP6" i="1" s="1"/>
  <c r="AL6" i="1"/>
  <c r="AI6" i="1"/>
  <c r="AJ6" i="1" s="1"/>
  <c r="W6" i="1"/>
  <c r="X6" i="1" s="1"/>
  <c r="Y6" i="1" s="1"/>
  <c r="Z6" i="1" s="1"/>
  <c r="AA6" i="1" s="1"/>
  <c r="AB6" i="1" s="1"/>
  <c r="C6" i="1"/>
  <c r="AR3" i="1"/>
  <c r="EH1" i="1"/>
  <c r="GH416" i="1" l="1"/>
  <c r="GL416" i="1"/>
  <c r="GM438" i="1"/>
  <c r="CB238" i="1"/>
  <c r="DJ227" i="1"/>
  <c r="FL394" i="1"/>
  <c r="FL397" i="1"/>
  <c r="FL69" i="1"/>
  <c r="M254" i="1"/>
  <c r="GX117" i="1"/>
  <c r="FL382" i="1"/>
  <c r="FL398" i="1"/>
  <c r="CB402" i="1"/>
  <c r="FM412" i="1"/>
  <c r="FK40" i="1"/>
  <c r="GE424" i="1"/>
  <c r="GG424" i="1" s="1"/>
  <c r="CE241" i="1"/>
  <c r="CO253" i="1"/>
  <c r="FL336" i="1"/>
  <c r="GZ11" i="1"/>
  <c r="GD12" i="1"/>
  <c r="EQ80" i="1"/>
  <c r="FL132" i="1"/>
  <c r="BE266" i="1"/>
  <c r="EQ370" i="1"/>
  <c r="DV415" i="1"/>
  <c r="DE457" i="1"/>
  <c r="DA392" i="1"/>
  <c r="DB400" i="1"/>
  <c r="EQ400" i="1"/>
  <c r="BK403" i="1"/>
  <c r="CK403" i="1" s="1"/>
  <c r="FN412" i="1"/>
  <c r="FL107" i="1"/>
  <c r="FK420" i="1"/>
  <c r="FL301" i="1"/>
  <c r="FL315" i="1"/>
  <c r="FL356" i="1"/>
  <c r="FK415" i="1"/>
  <c r="GI415" i="1"/>
  <c r="GK415" i="1" s="1"/>
  <c r="DA395" i="1"/>
  <c r="DK226" i="1"/>
  <c r="DL228" i="1"/>
  <c r="DL226" i="1"/>
  <c r="GB413" i="1"/>
  <c r="FL238" i="1"/>
  <c r="FL248" i="1"/>
  <c r="DL9" i="1"/>
  <c r="DA239" i="1"/>
  <c r="FL302" i="1"/>
  <c r="GM425" i="1"/>
  <c r="EQ260" i="1"/>
  <c r="EQ274" i="1"/>
  <c r="FL274" i="1"/>
  <c r="DH272" i="1"/>
  <c r="FX230" i="1"/>
  <c r="BK241" i="1"/>
  <c r="CK241" i="1" s="1"/>
  <c r="FL261" i="1"/>
  <c r="FL263" i="1"/>
  <c r="BK299" i="1"/>
  <c r="GI413" i="1"/>
  <c r="GK413" i="1" s="1"/>
  <c r="DZ118" i="1"/>
  <c r="FL139" i="1"/>
  <c r="FV413" i="1"/>
  <c r="EY205" i="1"/>
  <c r="GJ413" i="1"/>
  <c r="GL413" i="1" s="1"/>
  <c r="FL185" i="1"/>
  <c r="DL227" i="1"/>
  <c r="FL105" i="1"/>
  <c r="GA425" i="1"/>
  <c r="DZ77" i="1"/>
  <c r="EX77" i="1"/>
  <c r="FL77" i="1"/>
  <c r="FL95" i="1"/>
  <c r="EQ108" i="1"/>
  <c r="FL109" i="1"/>
  <c r="M155" i="1"/>
  <c r="CT155" i="1" s="1"/>
  <c r="FL81" i="1"/>
  <c r="EQ90" i="1"/>
  <c r="FL90" i="1"/>
  <c r="BX112" i="1"/>
  <c r="FL121" i="1"/>
  <c r="FL130" i="1"/>
  <c r="EQ140" i="1"/>
  <c r="FL140" i="1"/>
  <c r="FL144" i="1"/>
  <c r="FL155" i="1"/>
  <c r="DA161" i="1"/>
  <c r="BS49" i="1"/>
  <c r="BS65" i="1"/>
  <c r="EM424" i="1"/>
  <c r="EM436" i="1" s="1"/>
  <c r="FV436" i="1" s="1"/>
  <c r="FL163" i="1"/>
  <c r="BS199" i="1"/>
  <c r="FL210" i="1"/>
  <c r="EQ214" i="1"/>
  <c r="M223" i="1"/>
  <c r="FX229" i="1"/>
  <c r="EQ236" i="1"/>
  <c r="FL237" i="1"/>
  <c r="CR238" i="1"/>
  <c r="BK247" i="1"/>
  <c r="BY254" i="1"/>
  <c r="DH257" i="1"/>
  <c r="CP265" i="1"/>
  <c r="CB266" i="1"/>
  <c r="CR266" i="1" s="1"/>
  <c r="FL267" i="1"/>
  <c r="FL273" i="1"/>
  <c r="FL275" i="1"/>
  <c r="DB285" i="1"/>
  <c r="BK286" i="1"/>
  <c r="DB287" i="1"/>
  <c r="EQ287" i="1"/>
  <c r="BO299" i="1"/>
  <c r="M321" i="1"/>
  <c r="CT321" i="1" s="1"/>
  <c r="BS321" i="1"/>
  <c r="DH321" i="1"/>
  <c r="EQ323" i="1"/>
  <c r="DB325" i="1"/>
  <c r="FL335" i="1"/>
  <c r="BK358" i="1"/>
  <c r="BO241" i="1"/>
  <c r="CL241" i="1" s="1"/>
  <c r="FL254" i="1"/>
  <c r="DB266" i="1"/>
  <c r="D267" i="1"/>
  <c r="FL282" i="1"/>
  <c r="BK313" i="1"/>
  <c r="FK364" i="1"/>
  <c r="CD265" i="1"/>
  <c r="EQ350" i="1"/>
  <c r="EQ355" i="1"/>
  <c r="BS358" i="1"/>
  <c r="GF365" i="1"/>
  <c r="FY365" i="1"/>
  <c r="BK194" i="1"/>
  <c r="CA194" i="1"/>
  <c r="BO205" i="1"/>
  <c r="M227" i="1"/>
  <c r="DZ232" i="1"/>
  <c r="M238" i="1"/>
  <c r="CU238" i="1" s="1"/>
  <c r="BO253" i="1"/>
  <c r="DZ267" i="1"/>
  <c r="BK281" i="1"/>
  <c r="CA281" i="1"/>
  <c r="DB283" i="1"/>
  <c r="BK334" i="1"/>
  <c r="GJ419" i="1"/>
  <c r="GL419" i="1" s="1"/>
  <c r="FT365" i="1"/>
  <c r="FL352" i="1"/>
  <c r="EQ354" i="1"/>
  <c r="BO358" i="1"/>
  <c r="DB359" i="1"/>
  <c r="FQ365" i="1"/>
  <c r="FL368" i="1"/>
  <c r="BK392" i="1"/>
  <c r="CE392" i="1"/>
  <c r="BO395" i="1"/>
  <c r="CL395" i="1" s="1"/>
  <c r="BS396" i="1"/>
  <c r="DE459" i="1"/>
  <c r="DH400" i="1"/>
  <c r="M402" i="1"/>
  <c r="CS402" i="1" s="1"/>
  <c r="BO402" i="1"/>
  <c r="CQ402" i="1"/>
  <c r="BO396" i="1"/>
  <c r="CO396" i="1"/>
  <c r="DH399" i="1"/>
  <c r="BK402" i="1"/>
  <c r="DA402" i="1"/>
  <c r="DH403" i="1"/>
  <c r="ET422" i="1"/>
  <c r="EQ366" i="1"/>
  <c r="EQ369" i="1"/>
  <c r="GM415" i="1"/>
  <c r="BO392" i="1"/>
  <c r="BZ392" i="1"/>
  <c r="CE396" i="1"/>
  <c r="DH397" i="1"/>
  <c r="DH398" i="1"/>
  <c r="DB399" i="1"/>
  <c r="EQ399" i="1"/>
  <c r="CR403" i="1"/>
  <c r="BW70" i="1"/>
  <c r="BK76" i="1"/>
  <c r="EA76" i="1"/>
  <c r="EY76" i="1"/>
  <c r="FL103" i="1"/>
  <c r="FL106" i="1"/>
  <c r="DH109" i="1"/>
  <c r="DZ127" i="1"/>
  <c r="EQ128" i="1"/>
  <c r="FL128" i="1"/>
  <c r="FL129" i="1"/>
  <c r="FL133" i="1"/>
  <c r="EQ146" i="1"/>
  <c r="M156" i="1"/>
  <c r="CQ156" i="1"/>
  <c r="BO161" i="1"/>
  <c r="BO162" i="1"/>
  <c r="EQ188" i="1"/>
  <c r="BS194" i="1"/>
  <c r="CA221" i="1"/>
  <c r="DA221" i="1"/>
  <c r="FX221" i="1"/>
  <c r="FL222" i="1"/>
  <c r="FX222" i="1"/>
  <c r="DB224" i="1"/>
  <c r="DB225" i="1"/>
  <c r="FX226" i="1"/>
  <c r="DB228" i="1"/>
  <c r="M230" i="1"/>
  <c r="BX230" i="1"/>
  <c r="FL241" i="1"/>
  <c r="BS247" i="1"/>
  <c r="BS253" i="1"/>
  <c r="DH253" i="1"/>
  <c r="EX260" i="1"/>
  <c r="DZ260" i="1"/>
  <c r="DH266" i="1"/>
  <c r="BS281" i="1"/>
  <c r="M284" i="1"/>
  <c r="CU284" i="1" s="1"/>
  <c r="BS284" i="1"/>
  <c r="BK101" i="1"/>
  <c r="BK111" i="1"/>
  <c r="BS155" i="1"/>
  <c r="BO157" i="1"/>
  <c r="EQ186" i="1"/>
  <c r="FL186" i="1"/>
  <c r="DA197" i="1"/>
  <c r="CR230" i="1"/>
  <c r="DH230" i="1"/>
  <c r="FL231" i="1"/>
  <c r="FX231" i="1"/>
  <c r="FL239" i="1"/>
  <c r="BO247" i="1"/>
  <c r="EX258" i="1"/>
  <c r="DZ258" i="1"/>
  <c r="EQ275" i="1"/>
  <c r="BO281" i="1"/>
  <c r="DK228" i="1"/>
  <c r="CP286" i="1"/>
  <c r="CO286" i="1"/>
  <c r="EX302" i="1"/>
  <c r="DZ302" i="1"/>
  <c r="BO76" i="1"/>
  <c r="EQ81" i="1"/>
  <c r="FL87" i="1"/>
  <c r="BK109" i="1"/>
  <c r="DA109" i="1"/>
  <c r="BK138" i="1"/>
  <c r="EQ158" i="1"/>
  <c r="EQ159" i="1"/>
  <c r="FX225" i="1"/>
  <c r="DH226" i="1"/>
  <c r="BS241" i="1"/>
  <c r="CM241" i="1" s="1"/>
  <c r="EY258" i="1"/>
  <c r="EX273" i="1"/>
  <c r="DZ273" i="1"/>
  <c r="EX275" i="1"/>
  <c r="DZ275" i="1"/>
  <c r="BW281" i="1"/>
  <c r="EQ249" i="1"/>
  <c r="FL249" i="1"/>
  <c r="EQ252" i="1"/>
  <c r="FL252" i="1"/>
  <c r="EY253" i="1"/>
  <c r="BZ265" i="1"/>
  <c r="DH281" i="1"/>
  <c r="DH282" i="1"/>
  <c r="FL284" i="1"/>
  <c r="BO286" i="1"/>
  <c r="DH286" i="1"/>
  <c r="BO324" i="1"/>
  <c r="DH247" i="1"/>
  <c r="BK253" i="1"/>
  <c r="DZ253" i="1"/>
  <c r="DE455" i="1"/>
  <c r="BO257" i="1"/>
  <c r="BK265" i="1"/>
  <c r="BS286" i="1"/>
  <c r="DB288" i="1"/>
  <c r="M289" i="1"/>
  <c r="CU289" i="1" s="1"/>
  <c r="BS289" i="1"/>
  <c r="CY299" i="1"/>
  <c r="BS334" i="1"/>
  <c r="FL304" i="1"/>
  <c r="FL317" i="1"/>
  <c r="FL320" i="1"/>
  <c r="BK364" i="1"/>
  <c r="EQ288" i="1"/>
  <c r="FL289" i="1"/>
  <c r="CA290" i="1"/>
  <c r="FL316" i="1"/>
  <c r="EQ326" i="1"/>
  <c r="BO334" i="1"/>
  <c r="FL340" i="1"/>
  <c r="EQ343" i="1"/>
  <c r="FL344" i="1"/>
  <c r="EQ359" i="1"/>
  <c r="GJ425" i="1"/>
  <c r="GL425" i="1" s="1"/>
  <c r="FV66" i="1"/>
  <c r="FX66" i="1" s="1"/>
  <c r="GF66" i="1"/>
  <c r="FT68" i="1"/>
  <c r="DB71" i="1"/>
  <c r="CY76" i="1"/>
  <c r="EX89" i="1"/>
  <c r="DZ89" i="1"/>
  <c r="DD156" i="1"/>
  <c r="DA156" i="1"/>
  <c r="FK126" i="1"/>
  <c r="CR199" i="1"/>
  <c r="BY199" i="1"/>
  <c r="DH70" i="1"/>
  <c r="EY66" i="1"/>
  <c r="DZ66" i="1"/>
  <c r="BS76" i="1"/>
  <c r="CZ101" i="1"/>
  <c r="EX194" i="1"/>
  <c r="DZ194" i="1"/>
  <c r="EY194" i="1"/>
  <c r="EX145" i="1"/>
  <c r="DZ145" i="1"/>
  <c r="BS156" i="1"/>
  <c r="CM156" i="1" s="1"/>
  <c r="DD162" i="1"/>
  <c r="DA162" i="1"/>
  <c r="DH55" i="1"/>
  <c r="EQ67" i="1"/>
  <c r="FL70" i="1"/>
  <c r="DH71" i="1"/>
  <c r="BS109" i="1"/>
  <c r="CL111" i="1"/>
  <c r="DH112" i="1"/>
  <c r="BO126" i="1"/>
  <c r="BO155" i="1"/>
  <c r="CG156" i="1"/>
  <c r="BS184" i="1"/>
  <c r="BO199" i="1"/>
  <c r="DD199" i="1"/>
  <c r="DA199" i="1"/>
  <c r="BK209" i="1"/>
  <c r="FW413" i="1"/>
  <c r="GA413" i="1"/>
  <c r="GF413" i="1"/>
  <c r="GH413" i="1" s="1"/>
  <c r="GN413" i="1"/>
  <c r="GM423" i="1"/>
  <c r="GI425" i="1"/>
  <c r="GK425" i="1" s="1"/>
  <c r="EQ50" i="1"/>
  <c r="BK70" i="1"/>
  <c r="CA70" i="1"/>
  <c r="FL71" i="1"/>
  <c r="FL78" i="1"/>
  <c r="FL79" i="1"/>
  <c r="FL91" i="1"/>
  <c r="FL92" i="1"/>
  <c r="FL93" i="1"/>
  <c r="FL94" i="1"/>
  <c r="FL96" i="1"/>
  <c r="EQ107" i="1"/>
  <c r="BO109" i="1"/>
  <c r="EY109" i="1"/>
  <c r="BO111" i="1"/>
  <c r="FL112" i="1"/>
  <c r="BS117" i="1"/>
  <c r="EQ119" i="1"/>
  <c r="FL119" i="1"/>
  <c r="BK126" i="1"/>
  <c r="BS138" i="1"/>
  <c r="BK156" i="1"/>
  <c r="CK156" i="1" s="1"/>
  <c r="M161" i="1"/>
  <c r="CT161" i="1" s="1"/>
  <c r="BK195" i="1"/>
  <c r="CK195" i="1" s="1"/>
  <c r="DD198" i="1"/>
  <c r="DA198" i="1"/>
  <c r="BK199" i="1"/>
  <c r="CO205" i="1"/>
  <c r="BK220" i="1"/>
  <c r="DH220" i="1"/>
  <c r="BO221" i="1"/>
  <c r="DH222" i="1"/>
  <c r="FL226" i="1"/>
  <c r="FL227" i="1"/>
  <c r="FL235" i="1"/>
  <c r="BS238" i="1"/>
  <c r="BK161" i="1"/>
  <c r="BY161" i="1"/>
  <c r="BW194" i="1"/>
  <c r="BK198" i="1"/>
  <c r="BS205" i="1"/>
  <c r="DH205" i="1"/>
  <c r="EA209" i="1"/>
  <c r="EY209" i="1"/>
  <c r="BK221" i="1"/>
  <c r="FL223" i="1"/>
  <c r="DH225" i="1"/>
  <c r="DH240" i="1"/>
  <c r="EQ144" i="1"/>
  <c r="BY156" i="1"/>
  <c r="BS161" i="1"/>
  <c r="FL161" i="1"/>
  <c r="EQ163" i="1"/>
  <c r="BO194" i="1"/>
  <c r="DH194" i="1"/>
  <c r="FL198" i="1"/>
  <c r="BK205" i="1"/>
  <c r="DZ205" i="1"/>
  <c r="FL206" i="1"/>
  <c r="BO209" i="1"/>
  <c r="DY212" i="1"/>
  <c r="FL213" i="1"/>
  <c r="FL229" i="1"/>
  <c r="DH238" i="1"/>
  <c r="DD194" i="1"/>
  <c r="DA194" i="1"/>
  <c r="CL70" i="1"/>
  <c r="L71" i="1"/>
  <c r="DL71" i="1" s="1"/>
  <c r="EY91" i="1"/>
  <c r="CE109" i="1"/>
  <c r="DH111" i="1"/>
  <c r="DH117" i="1"/>
  <c r="EQ121" i="1"/>
  <c r="CZ126" i="1"/>
  <c r="CY126" i="1"/>
  <c r="EX138" i="1"/>
  <c r="EY138" i="1"/>
  <c r="EA138" i="1"/>
  <c r="CQ155" i="1"/>
  <c r="BX155" i="1"/>
  <c r="CR155" i="1"/>
  <c r="FZ210" i="1"/>
  <c r="GC210" i="1" s="1"/>
  <c r="FQ210" i="1"/>
  <c r="FV210" i="1"/>
  <c r="FX210" i="1" s="1"/>
  <c r="BX225" i="1"/>
  <c r="CQ225" i="1" s="1"/>
  <c r="M225" i="1"/>
  <c r="CB225" i="1"/>
  <c r="CR225" i="1" s="1"/>
  <c r="CD229" i="1"/>
  <c r="BZ229" i="1"/>
  <c r="GN423" i="1"/>
  <c r="EQ43" i="1"/>
  <c r="CA49" i="1"/>
  <c r="CS49" i="1"/>
  <c r="BO65" i="1"/>
  <c r="FQ66" i="1"/>
  <c r="FZ66" i="1"/>
  <c r="GC66" i="1" s="1"/>
  <c r="BS70" i="1"/>
  <c r="CN70" i="1"/>
  <c r="CV70" i="1" s="1"/>
  <c r="ED71" i="1"/>
  <c r="FK65" i="1"/>
  <c r="DG76" i="1"/>
  <c r="DH76" i="1" s="1"/>
  <c r="BO86" i="1"/>
  <c r="DZ87" i="1"/>
  <c r="EY89" i="1"/>
  <c r="EQ93" i="1"/>
  <c r="BS101" i="1"/>
  <c r="DH101" i="1"/>
  <c r="CY101" i="1"/>
  <c r="BY110" i="1"/>
  <c r="DB110" i="1"/>
  <c r="BX111" i="1"/>
  <c r="CN111" i="1"/>
  <c r="CV111" i="1" s="1"/>
  <c r="CB112" i="1"/>
  <c r="CR112" i="1"/>
  <c r="BO117" i="1"/>
  <c r="CY117" i="1"/>
  <c r="EY118" i="1"/>
  <c r="EX144" i="1"/>
  <c r="DZ144" i="1"/>
  <c r="EX198" i="1"/>
  <c r="DZ198" i="1"/>
  <c r="EY198" i="1"/>
  <c r="CY209" i="1"/>
  <c r="CZ257" i="1"/>
  <c r="CQ157" i="1"/>
  <c r="CR157" i="1"/>
  <c r="CB157" i="1"/>
  <c r="M157" i="1"/>
  <c r="CT157" i="1" s="1"/>
  <c r="BX157" i="1"/>
  <c r="CO240" i="1"/>
  <c r="M240" i="1"/>
  <c r="CU240" i="1" s="1"/>
  <c r="CE10" i="1"/>
  <c r="GT11" i="1"/>
  <c r="CS51" i="1"/>
  <c r="EQ78" i="1"/>
  <c r="GD11" i="1"/>
  <c r="GZ12" i="1"/>
  <c r="FK7" i="1"/>
  <c r="CU49" i="1"/>
  <c r="CA51" i="1"/>
  <c r="CU51" i="1"/>
  <c r="N424" i="1"/>
  <c r="CO10" i="1"/>
  <c r="GT12" i="1"/>
  <c r="GE413" i="1"/>
  <c r="GG413" i="1" s="1"/>
  <c r="GM413" i="1"/>
  <c r="FL21" i="1"/>
  <c r="GN425" i="1"/>
  <c r="FL42" i="1"/>
  <c r="DA49" i="1"/>
  <c r="BK65" i="1"/>
  <c r="CZ65" i="1"/>
  <c r="FL66" i="1"/>
  <c r="FL67" i="1"/>
  <c r="FL68" i="1"/>
  <c r="EQ69" i="1"/>
  <c r="BO70" i="1"/>
  <c r="FT70" i="1"/>
  <c r="EQ71" i="1"/>
  <c r="FL80" i="1"/>
  <c r="BK86" i="1"/>
  <c r="EX87" i="1"/>
  <c r="EQ88" i="1"/>
  <c r="FL88" i="1"/>
  <c r="FL89" i="1"/>
  <c r="DZ91" i="1"/>
  <c r="EQ92" i="1"/>
  <c r="BO101" i="1"/>
  <c r="FL102" i="1"/>
  <c r="EQ103" i="1"/>
  <c r="EQ105" i="1"/>
  <c r="FL108" i="1"/>
  <c r="CO109" i="1"/>
  <c r="DZ109" i="1"/>
  <c r="DH110" i="1"/>
  <c r="EQ110" i="1"/>
  <c r="M111" i="1"/>
  <c r="CT111" i="1" s="1"/>
  <c r="BS111" i="1"/>
  <c r="CB111" i="1"/>
  <c r="CR111" i="1"/>
  <c r="FL111" i="1"/>
  <c r="BK117" i="1"/>
  <c r="CZ117" i="1"/>
  <c r="FL118" i="1"/>
  <c r="FL120" i="1"/>
  <c r="BS126" i="1"/>
  <c r="DH126" i="1"/>
  <c r="BO138" i="1"/>
  <c r="EX139" i="1"/>
  <c r="DZ139" i="1"/>
  <c r="CB155" i="1"/>
  <c r="DH155" i="1"/>
  <c r="BO156" i="1"/>
  <c r="CL156" i="1" s="1"/>
  <c r="CP162" i="1"/>
  <c r="CE162" i="1"/>
  <c r="BS162" i="1"/>
  <c r="CO162" i="1"/>
  <c r="EX250" i="1"/>
  <c r="EY250" i="1"/>
  <c r="DZ250" i="1"/>
  <c r="EY127" i="1"/>
  <c r="EQ130" i="1"/>
  <c r="EQ131" i="1"/>
  <c r="FL131" i="1"/>
  <c r="EQ132" i="1"/>
  <c r="GI424" i="1"/>
  <c r="GK424" i="1" s="1"/>
  <c r="DH138" i="1"/>
  <c r="EQ145" i="1"/>
  <c r="EY145" i="1"/>
  <c r="BK155" i="1"/>
  <c r="CC156" i="1"/>
  <c r="DH157" i="1"/>
  <c r="FL159" i="1"/>
  <c r="CR161" i="1"/>
  <c r="CC161" i="1"/>
  <c r="BK162" i="1"/>
  <c r="FL162" i="1"/>
  <c r="M163" i="1"/>
  <c r="BK163" i="1"/>
  <c r="CK163" i="1" s="1"/>
  <c r="BO163" i="1"/>
  <c r="CL163" i="1" s="1"/>
  <c r="BS163" i="1"/>
  <c r="CM163" i="1" s="1"/>
  <c r="CC163" i="1"/>
  <c r="DH163" i="1"/>
  <c r="EX220" i="1"/>
  <c r="EY220" i="1"/>
  <c r="EA220" i="1"/>
  <c r="EX228" i="1"/>
  <c r="EY228" i="1"/>
  <c r="EA228" i="1"/>
  <c r="CC267" i="1"/>
  <c r="M267" i="1"/>
  <c r="BY267" i="1"/>
  <c r="EY353" i="1"/>
  <c r="EX353" i="1"/>
  <c r="EA353" i="1"/>
  <c r="FK348" i="1"/>
  <c r="FL127" i="1"/>
  <c r="GM424" i="1"/>
  <c r="FM417" i="1"/>
  <c r="FV139" i="1"/>
  <c r="FX139" i="1" s="1"/>
  <c r="FL146" i="1"/>
  <c r="DH156" i="1"/>
  <c r="BS157" i="1"/>
  <c r="EX162" i="1"/>
  <c r="EY162" i="1"/>
  <c r="CB206" i="1"/>
  <c r="CR206" i="1" s="1"/>
  <c r="BX206" i="1"/>
  <c r="CQ206" i="1" s="1"/>
  <c r="CY257" i="1"/>
  <c r="FY424" i="1"/>
  <c r="CR265" i="1"/>
  <c r="CB265" i="1"/>
  <c r="BX265" i="1"/>
  <c r="DB163" i="1"/>
  <c r="BK184" i="1"/>
  <c r="CY184" i="1"/>
  <c r="CR197" i="1"/>
  <c r="CQ197" i="1"/>
  <c r="CC197" i="1"/>
  <c r="BS198" i="1"/>
  <c r="CE205" i="1"/>
  <c r="DD205" i="1"/>
  <c r="DA205" i="1"/>
  <c r="BS220" i="1"/>
  <c r="EY221" i="1"/>
  <c r="DZ221" i="1"/>
  <c r="BW221" i="1"/>
  <c r="EA224" i="1"/>
  <c r="EY224" i="1"/>
  <c r="CP231" i="1"/>
  <c r="CO231" i="1"/>
  <c r="EY232" i="1"/>
  <c r="BK238" i="1"/>
  <c r="CE253" i="1"/>
  <c r="DD253" i="1"/>
  <c r="DA253" i="1"/>
  <c r="BS265" i="1"/>
  <c r="BZ266" i="1"/>
  <c r="CO266" i="1" s="1"/>
  <c r="CD266" i="1"/>
  <c r="CP266" i="1" s="1"/>
  <c r="BW290" i="1"/>
  <c r="DH322" i="1"/>
  <c r="DB323" i="1"/>
  <c r="CZ313" i="1"/>
  <c r="BZ195" i="1"/>
  <c r="CO195" i="1" s="1"/>
  <c r="BS195" i="1"/>
  <c r="CM195" i="1" s="1"/>
  <c r="CQ196" i="1"/>
  <c r="CR196" i="1"/>
  <c r="CB196" i="1"/>
  <c r="M196" i="1"/>
  <c r="CU196" i="1" s="1"/>
  <c r="BO196" i="1"/>
  <c r="BO198" i="1"/>
  <c r="BS209" i="1"/>
  <c r="BO220" i="1"/>
  <c r="BS221" i="1"/>
  <c r="DH231" i="1"/>
  <c r="BS240" i="1"/>
  <c r="CY247" i="1"/>
  <c r="BN266" i="1"/>
  <c r="BK266" i="1" s="1"/>
  <c r="D266" i="1"/>
  <c r="BV266" i="1"/>
  <c r="CG266" i="1" s="1"/>
  <c r="J266" i="1"/>
  <c r="BR266" i="1"/>
  <c r="CF266" i="1" s="1"/>
  <c r="BO272" i="1"/>
  <c r="DD290" i="1"/>
  <c r="DA290" i="1"/>
  <c r="CZ348" i="1"/>
  <c r="EY351" i="1"/>
  <c r="EX351" i="1"/>
  <c r="EA351" i="1"/>
  <c r="BO184" i="1"/>
  <c r="EY185" i="1"/>
  <c r="FL188" i="1"/>
  <c r="FL195" i="1"/>
  <c r="BS196" i="1"/>
  <c r="DH196" i="1"/>
  <c r="DH197" i="1"/>
  <c r="FL197" i="1"/>
  <c r="CE198" i="1"/>
  <c r="DH198" i="1"/>
  <c r="CC199" i="1"/>
  <c r="DH199" i="1"/>
  <c r="FL205" i="1"/>
  <c r="DB206" i="1"/>
  <c r="DH209" i="1"/>
  <c r="EQ215" i="1"/>
  <c r="FL215" i="1"/>
  <c r="DH221" i="1"/>
  <c r="FL221" i="1"/>
  <c r="FX223" i="1"/>
  <c r="CQ227" i="1"/>
  <c r="CB227" i="1"/>
  <c r="CR227" i="1" s="1"/>
  <c r="DH227" i="1"/>
  <c r="DH229" i="1"/>
  <c r="CB230" i="1"/>
  <c r="EA231" i="1"/>
  <c r="EY231" i="1"/>
  <c r="FL232" i="1"/>
  <c r="EQ234" i="1"/>
  <c r="FL236" i="1"/>
  <c r="BX238" i="1"/>
  <c r="CB240" i="1"/>
  <c r="FL240" i="1"/>
  <c r="EA247" i="1"/>
  <c r="EY247" i="1"/>
  <c r="CZ247" i="1"/>
  <c r="DZ248" i="1"/>
  <c r="CC254" i="1"/>
  <c r="CQ254" i="1"/>
  <c r="BS257" i="1"/>
  <c r="FL258" i="1"/>
  <c r="FL260" i="1"/>
  <c r="EQ262" i="1"/>
  <c r="EQ263" i="1"/>
  <c r="FL264" i="1"/>
  <c r="DH265" i="1"/>
  <c r="EQ266" i="1"/>
  <c r="DH267" i="1"/>
  <c r="EQ267" i="1"/>
  <c r="EY267" i="1"/>
  <c r="BS272" i="1"/>
  <c r="FL281" i="1"/>
  <c r="DH283" i="1"/>
  <c r="BK284" i="1"/>
  <c r="EQ285" i="1"/>
  <c r="CE286" i="1"/>
  <c r="DD286" i="1"/>
  <c r="DA286" i="1"/>
  <c r="DH288" i="1"/>
  <c r="BK289" i="1"/>
  <c r="BO313" i="1"/>
  <c r="CY313" i="1"/>
  <c r="DH326" i="1"/>
  <c r="CY334" i="1"/>
  <c r="BO348" i="1"/>
  <c r="CY364" i="1"/>
  <c r="EX396" i="1"/>
  <c r="DZ396" i="1"/>
  <c r="EY396" i="1"/>
  <c r="DD396" i="1"/>
  <c r="DA396" i="1"/>
  <c r="CD399" i="1"/>
  <c r="CP399" i="1" s="1"/>
  <c r="M399" i="1"/>
  <c r="BS402" i="1"/>
  <c r="BK157" i="1"/>
  <c r="FL157" i="1"/>
  <c r="FL160" i="1"/>
  <c r="DH161" i="1"/>
  <c r="DH162" i="1"/>
  <c r="CY138" i="1"/>
  <c r="DH184" i="1"/>
  <c r="DZ185" i="1"/>
  <c r="FK424" i="1"/>
  <c r="FL194" i="1"/>
  <c r="BO195" i="1"/>
  <c r="CL195" i="1" s="1"/>
  <c r="DH195" i="1"/>
  <c r="BK196" i="1"/>
  <c r="FL196" i="1"/>
  <c r="CO198" i="1"/>
  <c r="CQ199" i="1"/>
  <c r="FL199" i="1"/>
  <c r="DH206" i="1"/>
  <c r="FL211" i="1"/>
  <c r="EQ212" i="1"/>
  <c r="FL214" i="1"/>
  <c r="DB222" i="1"/>
  <c r="EA222" i="1"/>
  <c r="EY222" i="1"/>
  <c r="CQ223" i="1"/>
  <c r="CB223" i="1"/>
  <c r="CR223" i="1" s="1"/>
  <c r="DH223" i="1"/>
  <c r="DH224" i="1"/>
  <c r="FL224" i="1"/>
  <c r="FX224" i="1"/>
  <c r="FL225" i="1"/>
  <c r="DB226" i="1"/>
  <c r="EA226" i="1"/>
  <c r="EY226" i="1"/>
  <c r="DB227" i="1"/>
  <c r="FX227" i="1"/>
  <c r="DH228" i="1"/>
  <c r="FL228" i="1"/>
  <c r="FX228" i="1"/>
  <c r="DB229" i="1"/>
  <c r="FL230" i="1"/>
  <c r="EQ233" i="1"/>
  <c r="FL233" i="1"/>
  <c r="EQ237" i="1"/>
  <c r="BO238" i="1"/>
  <c r="DH239" i="1"/>
  <c r="BO240" i="1"/>
  <c r="EY248" i="1"/>
  <c r="FL250" i="1"/>
  <c r="EQ251" i="1"/>
  <c r="FL253" i="1"/>
  <c r="BK257" i="1"/>
  <c r="EQ259" i="1"/>
  <c r="FL259" i="1"/>
  <c r="FL262" i="1"/>
  <c r="EQ264" i="1"/>
  <c r="BO265" i="1"/>
  <c r="FL265" i="1"/>
  <c r="BK272" i="1"/>
  <c r="DH285" i="1"/>
  <c r="DH290" i="1"/>
  <c r="CY272" i="1"/>
  <c r="AW282" i="1" s="1"/>
  <c r="EY273" i="1"/>
  <c r="DB282" i="1"/>
  <c r="BO284" i="1"/>
  <c r="DH284" i="1"/>
  <c r="FL286" i="1"/>
  <c r="DH287" i="1"/>
  <c r="BO289" i="1"/>
  <c r="DH289" i="1"/>
  <c r="FL290" i="1"/>
  <c r="EY302" i="1"/>
  <c r="EQ303" i="1"/>
  <c r="FL303" i="1"/>
  <c r="BS313" i="1"/>
  <c r="DH313" i="1"/>
  <c r="EQ318" i="1"/>
  <c r="FL318" i="1"/>
  <c r="BK321" i="1"/>
  <c r="FL321" i="1"/>
  <c r="DH323" i="1"/>
  <c r="EQ338" i="1"/>
  <c r="FL338" i="1"/>
  <c r="EY340" i="1"/>
  <c r="EQ341" i="1"/>
  <c r="FL341" i="1"/>
  <c r="FL343" i="1"/>
  <c r="FL345" i="1"/>
  <c r="CY348" i="1"/>
  <c r="EN415" i="1"/>
  <c r="GF415" i="1"/>
  <c r="BS299" i="1"/>
  <c r="FL300" i="1"/>
  <c r="EQ301" i="1"/>
  <c r="EQ304" i="1"/>
  <c r="BK324" i="1"/>
  <c r="FL324" i="1"/>
  <c r="EQ336" i="1"/>
  <c r="DZ340" i="1"/>
  <c r="BS348" i="1"/>
  <c r="DH348" i="1"/>
  <c r="BS395" i="1"/>
  <c r="CM395" i="1" s="1"/>
  <c r="CG395" i="1"/>
  <c r="FL349" i="1"/>
  <c r="FL350" i="1"/>
  <c r="EX352" i="1"/>
  <c r="EY352" i="1"/>
  <c r="FL358" i="1"/>
  <c r="FW415" i="1"/>
  <c r="GE415" i="1"/>
  <c r="GG415" i="1" s="1"/>
  <c r="ET416" i="1"/>
  <c r="GK416" i="1"/>
  <c r="BK395" i="1"/>
  <c r="CK395" i="1" s="1"/>
  <c r="FL314" i="1"/>
  <c r="EQ315" i="1"/>
  <c r="EQ316" i="1"/>
  <c r="EQ319" i="1"/>
  <c r="FL319" i="1"/>
  <c r="BO321" i="1"/>
  <c r="DB322" i="1"/>
  <c r="BS324" i="1"/>
  <c r="DH324" i="1"/>
  <c r="DH325" i="1"/>
  <c r="EQ325" i="1"/>
  <c r="DB326" i="1"/>
  <c r="DH334" i="1"/>
  <c r="EQ342" i="1"/>
  <c r="FL342" i="1"/>
  <c r="BK348" i="1"/>
  <c r="DZ352" i="1"/>
  <c r="FL353" i="1"/>
  <c r="FL355" i="1"/>
  <c r="EQ356" i="1"/>
  <c r="FL357" i="1"/>
  <c r="DH358" i="1"/>
  <c r="BS364" i="1"/>
  <c r="BO375" i="1"/>
  <c r="CQ398" i="1"/>
  <c r="M398" i="1"/>
  <c r="CT398" i="1" s="1"/>
  <c r="BO398" i="1"/>
  <c r="CR398" i="1"/>
  <c r="DH364" i="1"/>
  <c r="FL365" i="1"/>
  <c r="BS375" i="1"/>
  <c r="DH375" i="1"/>
  <c r="DE461" i="1"/>
  <c r="EV416" i="1"/>
  <c r="GD416" i="1"/>
  <c r="EQ383" i="1"/>
  <c r="DH395" i="1"/>
  <c r="BK396" i="1"/>
  <c r="DH396" i="1"/>
  <c r="CD400" i="1"/>
  <c r="CP400" i="1" s="1"/>
  <c r="M400" i="1"/>
  <c r="EM438" i="1"/>
  <c r="FW438" i="1" s="1"/>
  <c r="EN438" i="1"/>
  <c r="FV441" i="1"/>
  <c r="FW441" i="1"/>
  <c r="FL351" i="1"/>
  <c r="EQ352" i="1"/>
  <c r="FL354" i="1"/>
  <c r="DH359" i="1"/>
  <c r="BO364" i="1"/>
  <c r="FL369" i="1"/>
  <c r="FL370" i="1"/>
  <c r="BK375" i="1"/>
  <c r="DW415" i="1"/>
  <c r="DY415" i="1" s="1"/>
  <c r="GA415" i="1"/>
  <c r="EX392" i="1"/>
  <c r="EY392" i="1"/>
  <c r="DZ392" i="1"/>
  <c r="DH392" i="1"/>
  <c r="FL395" i="1"/>
  <c r="BZ396" i="1"/>
  <c r="FL396" i="1"/>
  <c r="BS398" i="1"/>
  <c r="CD398" i="1"/>
  <c r="BZ402" i="1"/>
  <c r="CO402" i="1"/>
  <c r="DH402" i="1"/>
  <c r="FX416" i="1"/>
  <c r="FF422" i="1"/>
  <c r="BS403" i="1"/>
  <c r="CM403" i="1" s="1"/>
  <c r="GG416" i="1"/>
  <c r="BS392" i="1"/>
  <c r="CO392" i="1"/>
  <c r="BK398" i="1"/>
  <c r="DZ402" i="1"/>
  <c r="EY402" i="1"/>
  <c r="BO403" i="1"/>
  <c r="CL403" i="1" s="1"/>
  <c r="FY439" i="1"/>
  <c r="BW51" i="1"/>
  <c r="DA51" i="1"/>
  <c r="DB53" i="1"/>
  <c r="EA53" i="1"/>
  <c r="DK227" i="1"/>
  <c r="DH53" i="1"/>
  <c r="BO49" i="1"/>
  <c r="BS51" i="1"/>
  <c r="BK49" i="1"/>
  <c r="BW49" i="1"/>
  <c r="DZ49" i="1"/>
  <c r="EQ55" i="1"/>
  <c r="DF415" i="1"/>
  <c r="FP27" i="1"/>
  <c r="GI27" i="1" s="1"/>
  <c r="DH50" i="1"/>
  <c r="BO51" i="1"/>
  <c r="EQ54" i="1"/>
  <c r="BS40" i="1"/>
  <c r="CZ420" i="1"/>
  <c r="CZ432" i="1" s="1"/>
  <c r="GJ420" i="1"/>
  <c r="GL420" i="1" s="1"/>
  <c r="BK51" i="1"/>
  <c r="DH51" i="1"/>
  <c r="DB52" i="1"/>
  <c r="EQ52" i="1"/>
  <c r="BQ53" i="1"/>
  <c r="EQ53" i="1"/>
  <c r="DH54" i="1"/>
  <c r="FZ424" i="1"/>
  <c r="GB425" i="1"/>
  <c r="DJ9" i="1"/>
  <c r="N420" i="1"/>
  <c r="FY20" i="1"/>
  <c r="FW425" i="1"/>
  <c r="GE425" i="1"/>
  <c r="GG425" i="1" s="1"/>
  <c r="BO40" i="1"/>
  <c r="FY412" i="1"/>
  <c r="GI423" i="1"/>
  <c r="GK423" i="1" s="1"/>
  <c r="CZ424" i="1"/>
  <c r="CZ436" i="1" s="1"/>
  <c r="N425" i="1"/>
  <c r="CQ425" i="1" s="1"/>
  <c r="R415" i="1"/>
  <c r="CZ415" i="1"/>
  <c r="EC419" i="1"/>
  <c r="FQ20" i="1"/>
  <c r="FZ425" i="1"/>
  <c r="DB28" i="1"/>
  <c r="BK40" i="1"/>
  <c r="DH49" i="1"/>
  <c r="DB50" i="1"/>
  <c r="DH52" i="1"/>
  <c r="EA20" i="1"/>
  <c r="FW423" i="1"/>
  <c r="DZ10" i="1"/>
  <c r="CY415" i="1"/>
  <c r="DG415" i="1"/>
  <c r="FX16" i="1"/>
  <c r="DY17" i="1"/>
  <c r="GF29" i="1"/>
  <c r="EY51" i="1"/>
  <c r="M29" i="1"/>
  <c r="CT29" i="1" s="1"/>
  <c r="BS29" i="1"/>
  <c r="CY424" i="1"/>
  <c r="CY436" i="1" s="1"/>
  <c r="DG424" i="1"/>
  <c r="DG436" i="1" s="1"/>
  <c r="BK15" i="1"/>
  <c r="I420" i="1"/>
  <c r="I432" i="1" s="1"/>
  <c r="R423" i="1"/>
  <c r="R435" i="1" s="1"/>
  <c r="GF423" i="1"/>
  <c r="GH423" i="1" s="1"/>
  <c r="R424" i="1"/>
  <c r="DE425" i="1"/>
  <c r="DE437" i="1" s="1"/>
  <c r="DA10" i="1"/>
  <c r="FL20" i="1"/>
  <c r="DH28" i="1"/>
  <c r="EQ28" i="1"/>
  <c r="GE41" i="1"/>
  <c r="EX53" i="1"/>
  <c r="DY145" i="1"/>
  <c r="DY146" i="1"/>
  <c r="EA8" i="1"/>
  <c r="DE420" i="1"/>
  <c r="DE432" i="1" s="1"/>
  <c r="GE420" i="1"/>
  <c r="GG420" i="1" s="1"/>
  <c r="DG423" i="1"/>
  <c r="DG435" i="1" s="1"/>
  <c r="CW423" i="1"/>
  <c r="DC423" i="1" s="1"/>
  <c r="DH30" i="1"/>
  <c r="DZ40" i="1"/>
  <c r="EX40" i="1"/>
  <c r="DZ51" i="1"/>
  <c r="CY416" i="1"/>
  <c r="R420" i="1"/>
  <c r="DE424" i="1"/>
  <c r="DE436" i="1" s="1"/>
  <c r="R425" i="1"/>
  <c r="R437" i="1" s="1"/>
  <c r="EQ17" i="1"/>
  <c r="EQ22" i="1"/>
  <c r="FT24" i="1"/>
  <c r="FL25" i="1"/>
  <c r="DY144" i="1"/>
  <c r="BB415" i="1"/>
  <c r="DX446" i="1"/>
  <c r="BS10" i="1"/>
  <c r="DY9" i="1"/>
  <c r="N415" i="1"/>
  <c r="DF423" i="1"/>
  <c r="DF435" i="1" s="1"/>
  <c r="DK9" i="1"/>
  <c r="G3" i="1"/>
  <c r="X416" i="1"/>
  <c r="DF425" i="1"/>
  <c r="DF437" i="1" s="1"/>
  <c r="DG15" i="1"/>
  <c r="DH15" i="1" s="1"/>
  <c r="FL43" i="1"/>
  <c r="EQ23" i="1"/>
  <c r="BS25" i="1"/>
  <c r="EQ30" i="1"/>
  <c r="DE415" i="1"/>
  <c r="CX423" i="1"/>
  <c r="DD423" i="1" s="1"/>
  <c r="FL17" i="1"/>
  <c r="FT20" i="1"/>
  <c r="BO25" i="1"/>
  <c r="DH26" i="1"/>
  <c r="EQ26" i="1"/>
  <c r="DH27" i="1"/>
  <c r="GE27" i="1"/>
  <c r="EY49" i="1"/>
  <c r="FL50" i="1"/>
  <c r="FL55" i="1"/>
  <c r="DB26" i="1"/>
  <c r="CQ29" i="1"/>
  <c r="BX29" i="1"/>
  <c r="Z416" i="1"/>
  <c r="CZ416" i="1"/>
  <c r="FZ412" i="1"/>
  <c r="DF420" i="1"/>
  <c r="DF432" i="1" s="1"/>
  <c r="CY423" i="1"/>
  <c r="CY435" i="1" s="1"/>
  <c r="GJ423" i="1"/>
  <c r="GL423" i="1" s="1"/>
  <c r="CY425" i="1"/>
  <c r="CY437" i="1" s="1"/>
  <c r="DG425" i="1"/>
  <c r="DG437" i="1" s="1"/>
  <c r="EN425" i="1"/>
  <c r="EN437" i="1" s="1"/>
  <c r="FJ425" i="1"/>
  <c r="BO10" i="1"/>
  <c r="DH10" i="1"/>
  <c r="EY10" i="1"/>
  <c r="EA7" i="1"/>
  <c r="AB416" i="1"/>
  <c r="CY420" i="1"/>
  <c r="DG420" i="1"/>
  <c r="DG432" i="1" s="1"/>
  <c r="N423" i="1"/>
  <c r="N435" i="1" s="1"/>
  <c r="CZ423" i="1"/>
  <c r="CZ435" i="1" s="1"/>
  <c r="DE423" i="1"/>
  <c r="DE435" i="1" s="1"/>
  <c r="GE423" i="1"/>
  <c r="GG423" i="1" s="1"/>
  <c r="DF424" i="1"/>
  <c r="DF436" i="1" s="1"/>
  <c r="CZ425" i="1"/>
  <c r="DB425" i="1" s="1"/>
  <c r="BK10" i="1"/>
  <c r="FL10" i="1"/>
  <c r="FL16" i="1"/>
  <c r="ED419" i="1"/>
  <c r="GE20" i="1"/>
  <c r="EQ21" i="1"/>
  <c r="FL24" i="1"/>
  <c r="DD27" i="1"/>
  <c r="DA27" i="1"/>
  <c r="CB29" i="1"/>
  <c r="DH29" i="1"/>
  <c r="CY15" i="1"/>
  <c r="EQ42" i="1"/>
  <c r="FL49" i="1"/>
  <c r="FL51" i="1"/>
  <c r="AY259" i="1"/>
  <c r="EX259" i="1" s="1"/>
  <c r="BK25" i="1"/>
  <c r="DH25" i="1"/>
  <c r="FL27" i="1"/>
  <c r="FL41" i="1"/>
  <c r="D397" i="1"/>
  <c r="AZ424" i="1"/>
  <c r="AY54" i="1"/>
  <c r="EX54" i="1" s="1"/>
  <c r="BA425" i="1"/>
  <c r="AY357" i="1"/>
  <c r="EY357" i="1" s="1"/>
  <c r="BB424" i="1"/>
  <c r="EN427" i="1"/>
  <c r="GM420" i="1"/>
  <c r="GN420" i="1"/>
  <c r="CY375" i="1"/>
  <c r="AW375" i="1" s="1"/>
  <c r="GN417" i="1"/>
  <c r="GM417" i="1"/>
  <c r="CZ375" i="1"/>
  <c r="FK375" i="1"/>
  <c r="CZ334" i="1"/>
  <c r="GM419" i="1"/>
  <c r="CZ299" i="1"/>
  <c r="CZ272" i="1"/>
  <c r="BK240" i="1"/>
  <c r="CR240" i="1"/>
  <c r="DH241" i="1"/>
  <c r="CY220" i="1"/>
  <c r="DB241" i="1"/>
  <c r="BX240" i="1"/>
  <c r="CZ209" i="1"/>
  <c r="CZ184" i="1"/>
  <c r="ES423" i="1"/>
  <c r="ET423" i="1" s="1"/>
  <c r="FK425" i="1"/>
  <c r="CY86" i="1"/>
  <c r="DG86" i="1"/>
  <c r="DH86" i="1" s="1"/>
  <c r="CZ86" i="1"/>
  <c r="GA420" i="1"/>
  <c r="GI420" i="1"/>
  <c r="GK420" i="1" s="1"/>
  <c r="CZ40" i="1"/>
  <c r="FW420" i="1"/>
  <c r="GB420" i="1"/>
  <c r="BZ9" i="1"/>
  <c r="CO9" i="1" s="1"/>
  <c r="DZ9" i="1"/>
  <c r="FL9" i="1"/>
  <c r="EQ9" i="1"/>
  <c r="EY9" i="1"/>
  <c r="FJ419" i="1"/>
  <c r="EO419" i="1"/>
  <c r="EO431" i="1" s="1"/>
  <c r="FZ419" i="1"/>
  <c r="CZ15" i="1"/>
  <c r="CY7" i="1"/>
  <c r="DG7" i="1"/>
  <c r="BA423" i="1"/>
  <c r="AY403" i="1"/>
  <c r="EY403" i="1" s="1"/>
  <c r="BA420" i="1"/>
  <c r="BS15" i="1"/>
  <c r="BK29" i="1"/>
  <c r="D53" i="1"/>
  <c r="AZ420" i="1"/>
  <c r="BB423" i="1"/>
  <c r="BO15" i="1"/>
  <c r="AY107" i="1"/>
  <c r="EY107" i="1" s="1"/>
  <c r="D224" i="1"/>
  <c r="DY283" i="1"/>
  <c r="DY316" i="1"/>
  <c r="AY319" i="1"/>
  <c r="EX319" i="1" s="1"/>
  <c r="BS86" i="1"/>
  <c r="BB420" i="1"/>
  <c r="AZ423" i="1"/>
  <c r="BA424" i="1"/>
  <c r="BO29" i="1"/>
  <c r="BB425" i="1"/>
  <c r="DY53" i="1"/>
  <c r="DY90" i="1"/>
  <c r="AY112" i="1"/>
  <c r="EX112" i="1" s="1"/>
  <c r="DY188" i="1"/>
  <c r="AY214" i="1"/>
  <c r="EY214" i="1" s="1"/>
  <c r="AY215" i="1"/>
  <c r="DY267" i="1"/>
  <c r="DY288" i="1"/>
  <c r="DW419" i="1"/>
  <c r="DY43" i="1"/>
  <c r="DY260" i="1"/>
  <c r="DY275" i="1"/>
  <c r="DY352" i="1"/>
  <c r="D30" i="1"/>
  <c r="N30" i="1"/>
  <c r="BY30" i="1" s="1"/>
  <c r="J50" i="1"/>
  <c r="BR50" i="1"/>
  <c r="CF50" i="1" s="1"/>
  <c r="J52" i="1"/>
  <c r="DU54" i="1"/>
  <c r="DW55" i="1"/>
  <c r="ED55" i="1"/>
  <c r="AY67" i="1"/>
  <c r="DW69" i="1"/>
  <c r="ED69" i="1"/>
  <c r="DW80" i="1"/>
  <c r="ED80" i="1"/>
  <c r="AY93" i="1"/>
  <c r="EA93" i="1" s="1"/>
  <c r="ED93" i="1"/>
  <c r="DW103" i="1"/>
  <c r="ED103" i="1"/>
  <c r="DW107" i="1"/>
  <c r="AY110" i="1"/>
  <c r="DW110" i="1"/>
  <c r="DY110" i="1" s="1"/>
  <c r="ED112" i="1"/>
  <c r="DV119" i="1"/>
  <c r="EC119" i="1"/>
  <c r="DW121" i="1"/>
  <c r="ED121" i="1"/>
  <c r="ED117" i="1" s="1"/>
  <c r="AY128" i="1"/>
  <c r="DZ128" i="1" s="1"/>
  <c r="DW130" i="1"/>
  <c r="ED130" i="1"/>
  <c r="DW132" i="1"/>
  <c r="ED132" i="1"/>
  <c r="DV140" i="1"/>
  <c r="DV141" i="1"/>
  <c r="EC141" i="1"/>
  <c r="AY28" i="1"/>
  <c r="EA28" i="1" s="1"/>
  <c r="BQ30" i="1"/>
  <c r="BN50" i="1"/>
  <c r="DW54" i="1"/>
  <c r="DY54" i="1" s="1"/>
  <c r="AY55" i="1"/>
  <c r="EX55" i="1" s="1"/>
  <c r="DU55" i="1"/>
  <c r="DV67" i="1"/>
  <c r="EC67" i="1"/>
  <c r="AY69" i="1"/>
  <c r="EX69" i="1" s="1"/>
  <c r="DU69" i="1"/>
  <c r="AY80" i="1"/>
  <c r="EY80" i="1" s="1"/>
  <c r="DU80" i="1"/>
  <c r="DV93" i="1"/>
  <c r="AY103" i="1"/>
  <c r="EX103" i="1" s="1"/>
  <c r="DU103" i="1"/>
  <c r="DU107" i="1"/>
  <c r="EC107" i="1"/>
  <c r="DU110" i="1"/>
  <c r="DV112" i="1"/>
  <c r="AY119" i="1"/>
  <c r="DZ119" i="1" s="1"/>
  <c r="AY121" i="1"/>
  <c r="EX121" i="1" s="1"/>
  <c r="DU121" i="1"/>
  <c r="DV128" i="1"/>
  <c r="EC128" i="1"/>
  <c r="AY130" i="1"/>
  <c r="EY130" i="1" s="1"/>
  <c r="DU130" i="1"/>
  <c r="AY132" i="1"/>
  <c r="EA132" i="1" s="1"/>
  <c r="DU132" i="1"/>
  <c r="AY140" i="1"/>
  <c r="DZ140" i="1" s="1"/>
  <c r="EC140" i="1"/>
  <c r="AY141" i="1"/>
  <c r="DZ141" i="1" s="1"/>
  <c r="DW156" i="1"/>
  <c r="DY156" i="1" s="1"/>
  <c r="DW163" i="1"/>
  <c r="AY186" i="1"/>
  <c r="EX186" i="1" s="1"/>
  <c r="AY199" i="1"/>
  <c r="EX199" i="1" s="1"/>
  <c r="DU199" i="1"/>
  <c r="EC199" i="1"/>
  <c r="AY211" i="1"/>
  <c r="EY211" i="1" s="1"/>
  <c r="DV214" i="1"/>
  <c r="DW215" i="1"/>
  <c r="J222" i="1"/>
  <c r="BM224" i="1"/>
  <c r="AY233" i="1"/>
  <c r="EA233" i="1" s="1"/>
  <c r="AY249" i="1"/>
  <c r="EX249" i="1" s="1"/>
  <c r="DW251" i="1"/>
  <c r="ED251" i="1"/>
  <c r="AY252" i="1"/>
  <c r="DZ252" i="1" s="1"/>
  <c r="DV259" i="1"/>
  <c r="EC259" i="1"/>
  <c r="DV274" i="1"/>
  <c r="EC274" i="1"/>
  <c r="AY303" i="1"/>
  <c r="EY303" i="1" s="1"/>
  <c r="DW315" i="1"/>
  <c r="ED315" i="1"/>
  <c r="DU319" i="1"/>
  <c r="EC319" i="1"/>
  <c r="AY326" i="1"/>
  <c r="EX326" i="1" s="1"/>
  <c r="DV341" i="1"/>
  <c r="EC341" i="1"/>
  <c r="DV342" i="1"/>
  <c r="EC342" i="1"/>
  <c r="DW343" i="1"/>
  <c r="ED343" i="1"/>
  <c r="EX416" i="1"/>
  <c r="DV416" i="1"/>
  <c r="J397" i="1"/>
  <c r="DJ397" i="1" s="1"/>
  <c r="BO397" i="1"/>
  <c r="AY156" i="1"/>
  <c r="DZ156" i="1" s="1"/>
  <c r="DU156" i="1"/>
  <c r="EC156" i="1"/>
  <c r="AY163" i="1"/>
  <c r="EX163" i="1" s="1"/>
  <c r="DU163" i="1"/>
  <c r="EC163" i="1"/>
  <c r="DV186" i="1"/>
  <c r="EC186" i="1"/>
  <c r="DW199" i="1"/>
  <c r="DY199" i="1" s="1"/>
  <c r="DV211" i="1"/>
  <c r="EC211" i="1"/>
  <c r="ED214" i="1"/>
  <c r="DU215" i="1"/>
  <c r="EC215" i="1"/>
  <c r="BU224" i="1"/>
  <c r="DV233" i="1"/>
  <c r="EC233" i="1"/>
  <c r="J239" i="1"/>
  <c r="DJ239" i="1" s="1"/>
  <c r="DV249" i="1"/>
  <c r="EC249" i="1"/>
  <c r="AY251" i="1"/>
  <c r="EX251" i="1" s="1"/>
  <c r="DU251" i="1"/>
  <c r="DV252" i="1"/>
  <c r="EC252" i="1"/>
  <c r="AY274" i="1"/>
  <c r="AY315" i="1"/>
  <c r="EY315" i="1" s="1"/>
  <c r="DU315" i="1"/>
  <c r="DW319" i="1"/>
  <c r="AY341" i="1"/>
  <c r="EX341" i="1" s="1"/>
  <c r="AY342" i="1"/>
  <c r="EX342" i="1" s="1"/>
  <c r="AY343" i="1"/>
  <c r="EY343" i="1" s="1"/>
  <c r="DU343" i="1"/>
  <c r="DV403" i="1"/>
  <c r="BT9" i="1"/>
  <c r="CJ9" i="1" s="1"/>
  <c r="AZ438" i="1"/>
  <c r="D9" i="1"/>
  <c r="D412" i="1" s="1"/>
  <c r="H3" i="1"/>
  <c r="F3" i="1"/>
  <c r="F325" i="1" s="1"/>
  <c r="BV9" i="1"/>
  <c r="CG9" i="1" s="1"/>
  <c r="BR9" i="1"/>
  <c r="BN9" i="1"/>
  <c r="BN412" i="1" s="1"/>
  <c r="BL9" i="1"/>
  <c r="BL412" i="1" s="1"/>
  <c r="E420" i="1"/>
  <c r="E432" i="1" s="1"/>
  <c r="E424" i="1"/>
  <c r="E436" i="1" s="1"/>
  <c r="CI27" i="1"/>
  <c r="D27" i="1"/>
  <c r="CL27" i="1" s="1"/>
  <c r="N27" i="1"/>
  <c r="CQ27" i="1" s="1"/>
  <c r="CM29" i="1"/>
  <c r="CL29" i="1"/>
  <c r="L30" i="1"/>
  <c r="BT50" i="1"/>
  <c r="CJ50" i="1" s="1"/>
  <c r="BP50" i="1"/>
  <c r="CI50" i="1" s="1"/>
  <c r="BL50" i="1"/>
  <c r="CH50" i="1" s="1"/>
  <c r="N50" i="1"/>
  <c r="BY50" i="1" s="1"/>
  <c r="D50" i="1"/>
  <c r="BQ52" i="1"/>
  <c r="N52" i="1"/>
  <c r="CB52" i="1" s="1"/>
  <c r="CR52" i="1" s="1"/>
  <c r="D52" i="1"/>
  <c r="BM52" i="1"/>
  <c r="L53" i="1"/>
  <c r="I424" i="1"/>
  <c r="I436" i="1" s="1"/>
  <c r="BB438" i="1"/>
  <c r="DV419" i="1"/>
  <c r="DV431" i="1" s="1"/>
  <c r="BM30" i="1"/>
  <c r="CG50" i="1"/>
  <c r="L50" i="1"/>
  <c r="N53" i="1"/>
  <c r="CC53" i="1" s="1"/>
  <c r="BM53" i="1"/>
  <c r="J224" i="1"/>
  <c r="L224" i="1"/>
  <c r="BU228" i="1"/>
  <c r="BM228" i="1"/>
  <c r="D228" i="1"/>
  <c r="BQ228" i="1"/>
  <c r="DY105" i="1"/>
  <c r="BU222" i="1"/>
  <c r="BM222" i="1"/>
  <c r="D222" i="1"/>
  <c r="BQ222" i="1"/>
  <c r="BU226" i="1"/>
  <c r="BM226" i="1"/>
  <c r="D226" i="1"/>
  <c r="CG226" i="1"/>
  <c r="L287" i="1"/>
  <c r="BQ287" i="1"/>
  <c r="L288" i="1"/>
  <c r="BQ288" i="1"/>
  <c r="L325" i="1"/>
  <c r="L397" i="1"/>
  <c r="DL397" i="1" s="1"/>
  <c r="BN397" i="1"/>
  <c r="BK397" i="1" s="1"/>
  <c r="BV397" i="1"/>
  <c r="CG397" i="1" s="1"/>
  <c r="CX226" i="1"/>
  <c r="DD226" i="1" s="1"/>
  <c r="CX228" i="1"/>
  <c r="DD228" i="1" s="1"/>
  <c r="DY234" i="1"/>
  <c r="BM287" i="1"/>
  <c r="N288" i="1"/>
  <c r="CC288" i="1" s="1"/>
  <c r="BM288" i="1"/>
  <c r="DY338" i="1"/>
  <c r="GC429" i="1"/>
  <c r="FV440" i="1"/>
  <c r="FL411" i="1"/>
  <c r="FT411" i="1"/>
  <c r="FY411" i="1"/>
  <c r="FW439" i="1"/>
  <c r="FY441" i="1"/>
  <c r="CZ364" i="1"/>
  <c r="FK334" i="1"/>
  <c r="FK299" i="1"/>
  <c r="FK247" i="1"/>
  <c r="FJ220" i="1"/>
  <c r="AZ439" i="1"/>
  <c r="CZ220" i="1"/>
  <c r="FK220" i="1"/>
  <c r="FK138" i="1"/>
  <c r="FJ138" i="1"/>
  <c r="FJ126" i="1"/>
  <c r="FK117" i="1"/>
  <c r="FK101" i="1"/>
  <c r="FK86" i="1"/>
  <c r="FK76" i="1"/>
  <c r="CY65" i="1"/>
  <c r="DG65" i="1"/>
  <c r="DH65" i="1" s="1"/>
  <c r="CY40" i="1"/>
  <c r="DG40" i="1"/>
  <c r="DH40" i="1" s="1"/>
  <c r="GC20" i="1"/>
  <c r="FC21" i="1"/>
  <c r="J412" i="1"/>
  <c r="CB9" i="1"/>
  <c r="CR9" i="1" s="1"/>
  <c r="CD412" i="1"/>
  <c r="CP9" i="1"/>
  <c r="CX9" i="1"/>
  <c r="DB9" i="1"/>
  <c r="DF416" i="1"/>
  <c r="DF412" i="1"/>
  <c r="DF430" i="1" s="1"/>
  <c r="DH9" i="1"/>
  <c r="FX9" i="1"/>
  <c r="GV9" i="1"/>
  <c r="CZ7" i="1"/>
  <c r="DZ7" i="1"/>
  <c r="E412" i="1"/>
  <c r="E430" i="1" s="1"/>
  <c r="G412" i="1"/>
  <c r="I412" i="1"/>
  <c r="K412" i="1"/>
  <c r="M9" i="1"/>
  <c r="R416" i="1"/>
  <c r="R412" i="1"/>
  <c r="BM9" i="1"/>
  <c r="BQ9" i="1"/>
  <c r="BU9" i="1"/>
  <c r="BY9" i="1"/>
  <c r="CC9" i="1"/>
  <c r="CI9" i="1"/>
  <c r="CW9" i="1"/>
  <c r="DE412" i="1"/>
  <c r="DE430" i="1" s="1"/>
  <c r="DE416" i="1"/>
  <c r="DG416" i="1"/>
  <c r="DG412" i="1"/>
  <c r="DG430" i="1" s="1"/>
  <c r="EA9" i="1"/>
  <c r="GC9" i="1"/>
  <c r="GW9" i="1"/>
  <c r="GY9" i="1"/>
  <c r="M10" i="1"/>
  <c r="BX10" i="1"/>
  <c r="BZ10" i="1"/>
  <c r="CB10" i="1"/>
  <c r="CD10" i="1"/>
  <c r="CL10" i="1"/>
  <c r="CN10" i="1"/>
  <c r="CV10" i="1" s="1"/>
  <c r="CR10" i="1"/>
  <c r="EA10" i="1"/>
  <c r="FQ10" i="1"/>
  <c r="FT10" i="1"/>
  <c r="FY10" i="1"/>
  <c r="GE10" i="1"/>
  <c r="DZ15" i="1"/>
  <c r="EX15" i="1"/>
  <c r="EA16" i="1"/>
  <c r="EY16" i="1"/>
  <c r="CY412" i="1"/>
  <c r="CY430" i="1" s="1"/>
  <c r="DZ17" i="1"/>
  <c r="EY17" i="1"/>
  <c r="EQ19" i="1"/>
  <c r="EX20" i="1"/>
  <c r="DV21" i="1"/>
  <c r="EC21" i="1"/>
  <c r="DV22" i="1"/>
  <c r="EC22" i="1"/>
  <c r="DV23" i="1"/>
  <c r="ED23" i="1"/>
  <c r="DZ24" i="1"/>
  <c r="EY24" i="1"/>
  <c r="M25" i="1"/>
  <c r="BX25" i="1"/>
  <c r="BZ25" i="1"/>
  <c r="CB25" i="1"/>
  <c r="CD25" i="1"/>
  <c r="CL25" i="1"/>
  <c r="CN25" i="1"/>
  <c r="CV25" i="1" s="1"/>
  <c r="CP25" i="1"/>
  <c r="CR25" i="1"/>
  <c r="DD25" i="1"/>
  <c r="EA25" i="1"/>
  <c r="EX25" i="1"/>
  <c r="FP25" i="1"/>
  <c r="FT25" i="1"/>
  <c r="K26" i="1"/>
  <c r="R26" i="1"/>
  <c r="AY26" i="1"/>
  <c r="BL26" i="1"/>
  <c r="CH26" i="1" s="1"/>
  <c r="BN26" i="1"/>
  <c r="BP26" i="1"/>
  <c r="BR26" i="1"/>
  <c r="CF26" i="1" s="1"/>
  <c r="BT26" i="1"/>
  <c r="CJ26" i="1" s="1"/>
  <c r="BV26" i="1"/>
  <c r="CG26" i="1" s="1"/>
  <c r="DV26" i="1"/>
  <c r="DY26" i="1" s="1"/>
  <c r="R27" i="1"/>
  <c r="BL27" i="1"/>
  <c r="BN27" i="1"/>
  <c r="BP27" i="1"/>
  <c r="BR27" i="1"/>
  <c r="BT27" i="1"/>
  <c r="BV27" i="1"/>
  <c r="CF27" i="1"/>
  <c r="CH27" i="1"/>
  <c r="CJ27" i="1"/>
  <c r="DZ27" i="1"/>
  <c r="EY27" i="1"/>
  <c r="FQ27" i="1"/>
  <c r="FV27" i="1"/>
  <c r="GF27" i="1"/>
  <c r="D28" i="1"/>
  <c r="J28" i="1"/>
  <c r="L28" i="1"/>
  <c r="N28" i="1"/>
  <c r="BL28" i="1"/>
  <c r="CH28" i="1" s="1"/>
  <c r="BN28" i="1"/>
  <c r="BP28" i="1"/>
  <c r="BR28" i="1"/>
  <c r="CF28" i="1" s="1"/>
  <c r="BT28" i="1"/>
  <c r="CJ28" i="1" s="1"/>
  <c r="BV28" i="1"/>
  <c r="CG28" i="1" s="1"/>
  <c r="DV28" i="1"/>
  <c r="DY28" i="1" s="1"/>
  <c r="EX29" i="1"/>
  <c r="EA29" i="1"/>
  <c r="DD29" i="1"/>
  <c r="FL29" i="1"/>
  <c r="GE29" i="1"/>
  <c r="FP29" i="1"/>
  <c r="FV29" i="1"/>
  <c r="FZ29" i="1"/>
  <c r="GC29" i="1" s="1"/>
  <c r="DB30" i="1"/>
  <c r="FM419" i="1"/>
  <c r="GC127" i="1"/>
  <c r="F412" i="1"/>
  <c r="H412" i="1"/>
  <c r="L412" i="1"/>
  <c r="N416" i="1"/>
  <c r="N412" i="1"/>
  <c r="BP412" i="1"/>
  <c r="BX9" i="1"/>
  <c r="GD9" i="1"/>
  <c r="GX9" i="1"/>
  <c r="BY10" i="1"/>
  <c r="CC10" i="1"/>
  <c r="CK10" i="1"/>
  <c r="FV10" i="1"/>
  <c r="FX10" i="1" s="1"/>
  <c r="EA15" i="1"/>
  <c r="C221" i="1"/>
  <c r="DZ16" i="1"/>
  <c r="CZ412" i="1"/>
  <c r="EA17" i="1"/>
  <c r="DY19" i="1"/>
  <c r="FL19" i="1"/>
  <c r="DZ20" i="1"/>
  <c r="FV20" i="1"/>
  <c r="FX20" i="1" s="1"/>
  <c r="AY21" i="1"/>
  <c r="DU21" i="1"/>
  <c r="DW21" i="1"/>
  <c r="AY22" i="1"/>
  <c r="DU22" i="1"/>
  <c r="DW22" i="1"/>
  <c r="AY23" i="1"/>
  <c r="DU23" i="1"/>
  <c r="DW23" i="1"/>
  <c r="EC23" i="1"/>
  <c r="EA24" i="1"/>
  <c r="BY25" i="1"/>
  <c r="CC25" i="1"/>
  <c r="CE25" i="1"/>
  <c r="CK25" i="1"/>
  <c r="DZ25" i="1"/>
  <c r="FQ25" i="1"/>
  <c r="D26" i="1"/>
  <c r="J26" i="1"/>
  <c r="L26" i="1"/>
  <c r="N26" i="1"/>
  <c r="BM26" i="1"/>
  <c r="BQ26" i="1"/>
  <c r="BU26" i="1"/>
  <c r="DU26" i="1"/>
  <c r="BM27" i="1"/>
  <c r="BQ27" i="1"/>
  <c r="BU27" i="1"/>
  <c r="EA27" i="1"/>
  <c r="FT27" i="1"/>
  <c r="K28" i="1"/>
  <c r="R28" i="1"/>
  <c r="BM28" i="1"/>
  <c r="BQ28" i="1"/>
  <c r="BU28" i="1"/>
  <c r="DU28" i="1"/>
  <c r="CO29" i="1"/>
  <c r="CE29" i="1"/>
  <c r="BZ29" i="1"/>
  <c r="CD29" i="1"/>
  <c r="CP29" i="1"/>
  <c r="DZ29" i="1"/>
  <c r="EY29" i="1"/>
  <c r="DV30" i="1"/>
  <c r="DY30" i="1" s="1"/>
  <c r="AY30" i="1"/>
  <c r="DU30" i="1"/>
  <c r="GC77" i="1"/>
  <c r="GC87" i="1"/>
  <c r="EY94" i="1"/>
  <c r="DZ94" i="1"/>
  <c r="EX94" i="1"/>
  <c r="EA94" i="1"/>
  <c r="GC118" i="1"/>
  <c r="BY29" i="1"/>
  <c r="CC29" i="1"/>
  <c r="CK29" i="1"/>
  <c r="FT29" i="1"/>
  <c r="K30" i="1"/>
  <c r="R30" i="1"/>
  <c r="BL30" i="1"/>
  <c r="CH30" i="1" s="1"/>
  <c r="BN30" i="1"/>
  <c r="BP30" i="1"/>
  <c r="BR30" i="1"/>
  <c r="CF30" i="1" s="1"/>
  <c r="BT30" i="1"/>
  <c r="CJ30" i="1" s="1"/>
  <c r="BV30" i="1"/>
  <c r="CG30" i="1" s="1"/>
  <c r="EA40" i="1"/>
  <c r="DZ41" i="1"/>
  <c r="EX41" i="1"/>
  <c r="FV41" i="1"/>
  <c r="FX41" i="1" s="1"/>
  <c r="GF41" i="1"/>
  <c r="AY42" i="1"/>
  <c r="DU42" i="1"/>
  <c r="DW42" i="1"/>
  <c r="ED42" i="1"/>
  <c r="DZ43" i="1"/>
  <c r="EY43" i="1"/>
  <c r="CL49" i="1"/>
  <c r="CN49" i="1"/>
  <c r="CV49" i="1" s="1"/>
  <c r="EA49" i="1"/>
  <c r="FQ49" i="1"/>
  <c r="FT49" i="1"/>
  <c r="FY49" i="1"/>
  <c r="GE49" i="1"/>
  <c r="K50" i="1"/>
  <c r="R50" i="1"/>
  <c r="AY50" i="1"/>
  <c r="BM50" i="1"/>
  <c r="BQ50" i="1"/>
  <c r="BU50" i="1"/>
  <c r="DU50" i="1"/>
  <c r="DW50" i="1"/>
  <c r="ED50" i="1"/>
  <c r="CL51" i="1"/>
  <c r="CN51" i="1"/>
  <c r="CV51" i="1" s="1"/>
  <c r="EA51" i="1"/>
  <c r="FQ51" i="1"/>
  <c r="FT51" i="1"/>
  <c r="FY51" i="1"/>
  <c r="GE51" i="1"/>
  <c r="K52" i="1"/>
  <c r="R52" i="1"/>
  <c r="AY52" i="1"/>
  <c r="BL52" i="1"/>
  <c r="CH52" i="1" s="1"/>
  <c r="BN52" i="1"/>
  <c r="BP52" i="1"/>
  <c r="BR52" i="1"/>
  <c r="CF52" i="1" s="1"/>
  <c r="BT52" i="1"/>
  <c r="BV52" i="1"/>
  <c r="CG52" i="1" s="1"/>
  <c r="DV52" i="1"/>
  <c r="DY52" i="1" s="1"/>
  <c r="K53" i="1"/>
  <c r="R53" i="1"/>
  <c r="BL53" i="1"/>
  <c r="CH53" i="1" s="1"/>
  <c r="BN53" i="1"/>
  <c r="BP53" i="1"/>
  <c r="BR53" i="1"/>
  <c r="CF53" i="1" s="1"/>
  <c r="BT53" i="1"/>
  <c r="BV53" i="1"/>
  <c r="CG53" i="1" s="1"/>
  <c r="DZ53" i="1"/>
  <c r="D54" i="1"/>
  <c r="J54" i="1"/>
  <c r="L54" i="1"/>
  <c r="N54" i="1"/>
  <c r="BL54" i="1"/>
  <c r="CH54" i="1" s="1"/>
  <c r="BN54" i="1"/>
  <c r="BP54" i="1"/>
  <c r="CI54" i="1" s="1"/>
  <c r="BR54" i="1"/>
  <c r="BT54" i="1"/>
  <c r="CJ54" i="1" s="1"/>
  <c r="BV54" i="1"/>
  <c r="CG54" i="1" s="1"/>
  <c r="DB54" i="1"/>
  <c r="D55" i="1"/>
  <c r="J55" i="1"/>
  <c r="L55" i="1"/>
  <c r="N55" i="1"/>
  <c r="BL55" i="1"/>
  <c r="CH55" i="1" s="1"/>
  <c r="BN55" i="1"/>
  <c r="BP55" i="1"/>
  <c r="CI55" i="1" s="1"/>
  <c r="BR55" i="1"/>
  <c r="BT55" i="1"/>
  <c r="BV55" i="1"/>
  <c r="CG55" i="1" s="1"/>
  <c r="DB55" i="1"/>
  <c r="DV55" i="1"/>
  <c r="EA65" i="1"/>
  <c r="EY65" i="1"/>
  <c r="EA66" i="1"/>
  <c r="DU67" i="1"/>
  <c r="DW67" i="1"/>
  <c r="DZ68" i="1"/>
  <c r="EY68" i="1"/>
  <c r="DV69" i="1"/>
  <c r="CK70" i="1"/>
  <c r="CS70" i="1"/>
  <c r="CU70" i="1"/>
  <c r="DA70" i="1"/>
  <c r="DZ70" i="1"/>
  <c r="EY70" i="1"/>
  <c r="M71" i="1"/>
  <c r="AY71" i="1"/>
  <c r="BN71" i="1"/>
  <c r="BR71" i="1"/>
  <c r="BO71" i="1" s="1"/>
  <c r="CL71" i="1" s="1"/>
  <c r="BV71" i="1"/>
  <c r="BX71" i="1"/>
  <c r="BZ71" i="1"/>
  <c r="CO71" i="1" s="1"/>
  <c r="CB71" i="1"/>
  <c r="CR71" i="1" s="1"/>
  <c r="CD71" i="1"/>
  <c r="CP71" i="1" s="1"/>
  <c r="CX71" i="1"/>
  <c r="DV71" i="1"/>
  <c r="EC71" i="1"/>
  <c r="CZ76" i="1"/>
  <c r="DZ76" i="1"/>
  <c r="EA77" i="1"/>
  <c r="FV77" i="1"/>
  <c r="FX77" i="1" s="1"/>
  <c r="AY78" i="1"/>
  <c r="DV78" i="1"/>
  <c r="EC78" i="1"/>
  <c r="DZ79" i="1"/>
  <c r="EY79" i="1"/>
  <c r="DV80" i="1"/>
  <c r="AY81" i="1"/>
  <c r="DU81" i="1"/>
  <c r="DW81" i="1"/>
  <c r="ED81" i="1"/>
  <c r="GX76" i="1"/>
  <c r="EA86" i="1"/>
  <c r="EY86" i="1"/>
  <c r="EA87" i="1"/>
  <c r="FV87" i="1"/>
  <c r="AY88" i="1"/>
  <c r="DU88" i="1"/>
  <c r="DW88" i="1"/>
  <c r="ED88" i="1"/>
  <c r="EA89" i="1"/>
  <c r="EA90" i="1"/>
  <c r="EX90" i="1"/>
  <c r="EA91" i="1"/>
  <c r="AY92" i="1"/>
  <c r="DU92" i="1"/>
  <c r="DW92" i="1"/>
  <c r="EC92" i="1"/>
  <c r="DU93" i="1"/>
  <c r="DW93" i="1"/>
  <c r="BH94" i="1"/>
  <c r="DV94" i="1"/>
  <c r="EA101" i="1"/>
  <c r="EY101" i="1"/>
  <c r="DZ102" i="1"/>
  <c r="EX102" i="1"/>
  <c r="FY102" i="1"/>
  <c r="DV103" i="1"/>
  <c r="DZ105" i="1"/>
  <c r="EY105" i="1"/>
  <c r="DZ106" i="1"/>
  <c r="EY106" i="1"/>
  <c r="DV107" i="1"/>
  <c r="AY108" i="1"/>
  <c r="DU108" i="1"/>
  <c r="DW108" i="1"/>
  <c r="EC108" i="1"/>
  <c r="M109" i="1"/>
  <c r="BX109" i="1"/>
  <c r="BZ109" i="1"/>
  <c r="CB109" i="1"/>
  <c r="CD109" i="1"/>
  <c r="CL109" i="1"/>
  <c r="CN109" i="1"/>
  <c r="CV109" i="1" s="1"/>
  <c r="CR109" i="1"/>
  <c r="EA109" i="1"/>
  <c r="J110" i="1"/>
  <c r="L110" i="1"/>
  <c r="BN110" i="1"/>
  <c r="BK110" i="1" s="1"/>
  <c r="CK110" i="1" s="1"/>
  <c r="BR110" i="1"/>
  <c r="BO110" i="1" s="1"/>
  <c r="CL110" i="1" s="1"/>
  <c r="BV110" i="1"/>
  <c r="BS110" i="1" s="1"/>
  <c r="CM110" i="1" s="1"/>
  <c r="BX110" i="1"/>
  <c r="CB110" i="1"/>
  <c r="CR110" i="1" s="1"/>
  <c r="BY111" i="1"/>
  <c r="CC111" i="1"/>
  <c r="CE111" i="1"/>
  <c r="CK111" i="1"/>
  <c r="CO111" i="1"/>
  <c r="DA111" i="1"/>
  <c r="DZ111" i="1"/>
  <c r="EY111" i="1"/>
  <c r="D112" i="1"/>
  <c r="J112" i="1"/>
  <c r="DJ112" i="1" s="1"/>
  <c r="L112" i="1"/>
  <c r="DL112" i="1" s="1"/>
  <c r="BY112" i="1"/>
  <c r="CC112" i="1"/>
  <c r="DA112" i="1"/>
  <c r="DU112" i="1"/>
  <c r="DW112" i="1"/>
  <c r="DY112" i="1" s="1"/>
  <c r="EA117" i="1"/>
  <c r="EY117" i="1"/>
  <c r="EA118" i="1"/>
  <c r="FY118" i="1"/>
  <c r="DU119" i="1"/>
  <c r="DW119" i="1"/>
  <c r="DZ120" i="1"/>
  <c r="EY120" i="1"/>
  <c r="DV121" i="1"/>
  <c r="EA126" i="1"/>
  <c r="EY126" i="1"/>
  <c r="EA127" i="1"/>
  <c r="FY127" i="1"/>
  <c r="DU128" i="1"/>
  <c r="DW128" i="1"/>
  <c r="DZ129" i="1"/>
  <c r="EY129" i="1"/>
  <c r="DV130" i="1"/>
  <c r="AY131" i="1"/>
  <c r="DU131" i="1"/>
  <c r="DW131" i="1"/>
  <c r="ED131" i="1"/>
  <c r="DV132" i="1"/>
  <c r="GB424" i="1"/>
  <c r="GF424" i="1"/>
  <c r="GH424" i="1" s="1"/>
  <c r="BH133" i="1"/>
  <c r="DV133" i="1"/>
  <c r="DZ133" i="1"/>
  <c r="EY133" i="1"/>
  <c r="CZ138" i="1"/>
  <c r="DZ138" i="1"/>
  <c r="FZ139" i="1"/>
  <c r="FL141" i="1"/>
  <c r="FL145" i="1"/>
  <c r="EY146" i="1"/>
  <c r="DZ146" i="1"/>
  <c r="EX146" i="1"/>
  <c r="EY155" i="1"/>
  <c r="DZ155" i="1"/>
  <c r="DD155" i="1"/>
  <c r="EX155" i="1"/>
  <c r="CD156" i="1"/>
  <c r="CP156" i="1" s="1"/>
  <c r="BZ156" i="1"/>
  <c r="CO156" i="1" s="1"/>
  <c r="FL156" i="1"/>
  <c r="CO157" i="1"/>
  <c r="CE157" i="1"/>
  <c r="BZ157" i="1"/>
  <c r="CD157" i="1"/>
  <c r="CP157" i="1"/>
  <c r="BV231" i="1"/>
  <c r="CG231" i="1" s="1"/>
  <c r="BR231" i="1"/>
  <c r="CF231" i="1" s="1"/>
  <c r="BN231" i="1"/>
  <c r="K231" i="1"/>
  <c r="L231" i="1"/>
  <c r="J231" i="1"/>
  <c r="EA41" i="1"/>
  <c r="DV42" i="1"/>
  <c r="EA43" i="1"/>
  <c r="CK49" i="1"/>
  <c r="FV49" i="1"/>
  <c r="FX49" i="1" s="1"/>
  <c r="DV50" i="1"/>
  <c r="CK51" i="1"/>
  <c r="FV51" i="1"/>
  <c r="FX51" i="1" s="1"/>
  <c r="DU52" i="1"/>
  <c r="K54" i="1"/>
  <c r="R54" i="1"/>
  <c r="BM54" i="1"/>
  <c r="BQ54" i="1"/>
  <c r="BU54" i="1"/>
  <c r="K55" i="1"/>
  <c r="R55" i="1"/>
  <c r="BM55" i="1"/>
  <c r="BQ55" i="1"/>
  <c r="BU55" i="1"/>
  <c r="DZ65" i="1"/>
  <c r="EA68" i="1"/>
  <c r="EA70" i="1"/>
  <c r="BY71" i="1"/>
  <c r="CC71" i="1"/>
  <c r="CW71" i="1"/>
  <c r="DC71" i="1" s="1"/>
  <c r="DU71" i="1"/>
  <c r="DW71" i="1"/>
  <c r="FY77" i="1"/>
  <c r="DU78" i="1"/>
  <c r="DW78" i="1"/>
  <c r="EA79" i="1"/>
  <c r="DV81" i="1"/>
  <c r="DZ86" i="1"/>
  <c r="FY87" i="1"/>
  <c r="DV88" i="1"/>
  <c r="DZ90" i="1"/>
  <c r="DV92" i="1"/>
  <c r="DZ101" i="1"/>
  <c r="EA102" i="1"/>
  <c r="FV102" i="1"/>
  <c r="FX102" i="1" s="1"/>
  <c r="EA105" i="1"/>
  <c r="EA106" i="1"/>
  <c r="DV108" i="1"/>
  <c r="BY109" i="1"/>
  <c r="CC109" i="1"/>
  <c r="CK109" i="1"/>
  <c r="K110" i="1"/>
  <c r="R110" i="1"/>
  <c r="BZ111" i="1"/>
  <c r="CD111" i="1"/>
  <c r="EA111" i="1"/>
  <c r="K112" i="1"/>
  <c r="DK112" i="1" s="1"/>
  <c r="R112" i="1"/>
  <c r="BN112" i="1"/>
  <c r="BK112" i="1" s="1"/>
  <c r="BR112" i="1"/>
  <c r="BO112" i="1" s="1"/>
  <c r="BV112" i="1"/>
  <c r="BS112" i="1" s="1"/>
  <c r="DZ117" i="1"/>
  <c r="FV118" i="1"/>
  <c r="EA120" i="1"/>
  <c r="DZ126" i="1"/>
  <c r="FV127" i="1"/>
  <c r="EA129" i="1"/>
  <c r="DV131" i="1"/>
  <c r="EA133" i="1"/>
  <c r="CO155" i="1"/>
  <c r="CE155" i="1"/>
  <c r="BZ155" i="1"/>
  <c r="CD155" i="1"/>
  <c r="CP155" i="1"/>
  <c r="EY157" i="1"/>
  <c r="DZ157" i="1"/>
  <c r="DD157" i="1"/>
  <c r="EX157" i="1"/>
  <c r="BT231" i="1"/>
  <c r="BP231" i="1"/>
  <c r="CI231" i="1" s="1"/>
  <c r="BL231" i="1"/>
  <c r="BU231" i="1"/>
  <c r="BQ231" i="1"/>
  <c r="BM231" i="1"/>
  <c r="D231" i="1"/>
  <c r="CE161" i="1"/>
  <c r="CO161" i="1"/>
  <c r="DZ161" i="1"/>
  <c r="EY161" i="1"/>
  <c r="BY162" i="1"/>
  <c r="CC162" i="1"/>
  <c r="CQ162" i="1"/>
  <c r="CE163" i="1"/>
  <c r="DZ184" i="1"/>
  <c r="EX184" i="1"/>
  <c r="FV185" i="1"/>
  <c r="FX185" i="1" s="1"/>
  <c r="EA188" i="1"/>
  <c r="EX188" i="1"/>
  <c r="EL432" i="1"/>
  <c r="EL446" i="1" s="1"/>
  <c r="EL448" i="1" s="1"/>
  <c r="EU420" i="1"/>
  <c r="EV420" i="1" s="1"/>
  <c r="FV435" i="1"/>
  <c r="FW435" i="1"/>
  <c r="EO423" i="1"/>
  <c r="BX195" i="1"/>
  <c r="CB195" i="1"/>
  <c r="CR195" i="1"/>
  <c r="DD195" i="1"/>
  <c r="DV195" i="1"/>
  <c r="ED195" i="1"/>
  <c r="BZ196" i="1"/>
  <c r="CD196" i="1"/>
  <c r="CP196" i="1"/>
  <c r="DD196" i="1"/>
  <c r="EA196" i="1"/>
  <c r="EX196" i="1"/>
  <c r="K197" i="1"/>
  <c r="DK197" i="1" s="1"/>
  <c r="R197" i="1"/>
  <c r="DZ197" i="1"/>
  <c r="EY197" i="1"/>
  <c r="BY198" i="1"/>
  <c r="CC198" i="1"/>
  <c r="CQ198" i="1"/>
  <c r="CE199" i="1"/>
  <c r="CO199" i="1"/>
  <c r="BY205" i="1"/>
  <c r="CC205" i="1"/>
  <c r="CQ205" i="1"/>
  <c r="K206" i="1"/>
  <c r="R206" i="1"/>
  <c r="BN206" i="1"/>
  <c r="BK206" i="1" s="1"/>
  <c r="BR206" i="1"/>
  <c r="CF206" i="1" s="1"/>
  <c r="BV206" i="1"/>
  <c r="BS206" i="1" s="1"/>
  <c r="CM206" i="1" s="1"/>
  <c r="CH206" i="1"/>
  <c r="CJ206" i="1"/>
  <c r="EA206" i="1"/>
  <c r="EX206" i="1"/>
  <c r="EA210" i="1"/>
  <c r="EX210" i="1"/>
  <c r="EQ211" i="1"/>
  <c r="EA212" i="1"/>
  <c r="EX212" i="1"/>
  <c r="FL212" i="1"/>
  <c r="EA213" i="1"/>
  <c r="EX213" i="1"/>
  <c r="BY222" i="1"/>
  <c r="CC222" i="1"/>
  <c r="K223" i="1"/>
  <c r="BL223" i="1"/>
  <c r="CH223" i="1" s="1"/>
  <c r="BN223" i="1"/>
  <c r="CE223" i="1" s="1"/>
  <c r="BP223" i="1"/>
  <c r="BR223" i="1"/>
  <c r="CF223" i="1" s="1"/>
  <c r="BT223" i="1"/>
  <c r="CJ223" i="1" s="1"/>
  <c r="BV223" i="1"/>
  <c r="CG223" i="1" s="1"/>
  <c r="BZ223" i="1"/>
  <c r="CO223" i="1" s="1"/>
  <c r="CD223" i="1"/>
  <c r="CP223" i="1" s="1"/>
  <c r="DB223" i="1"/>
  <c r="DZ223" i="1"/>
  <c r="EX223" i="1"/>
  <c r="BY224" i="1"/>
  <c r="CC224" i="1"/>
  <c r="K225" i="1"/>
  <c r="BL225" i="1"/>
  <c r="CH225" i="1" s="1"/>
  <c r="BN225" i="1"/>
  <c r="CE225" i="1" s="1"/>
  <c r="BP225" i="1"/>
  <c r="BR225" i="1"/>
  <c r="CF225" i="1" s="1"/>
  <c r="BT225" i="1"/>
  <c r="CJ225" i="1" s="1"/>
  <c r="BV225" i="1"/>
  <c r="CG225" i="1" s="1"/>
  <c r="BZ225" i="1"/>
  <c r="CO225" i="1" s="1"/>
  <c r="CD225" i="1"/>
  <c r="CP225" i="1" s="1"/>
  <c r="DZ225" i="1"/>
  <c r="EX225" i="1"/>
  <c r="BY226" i="1"/>
  <c r="CC226" i="1"/>
  <c r="CW226" i="1"/>
  <c r="DC226" i="1" s="1"/>
  <c r="DJ226" i="1"/>
  <c r="BL227" i="1"/>
  <c r="CH227" i="1" s="1"/>
  <c r="BN227" i="1"/>
  <c r="CE227" i="1" s="1"/>
  <c r="BP227" i="1"/>
  <c r="BR227" i="1"/>
  <c r="CF227" i="1" s="1"/>
  <c r="BT227" i="1"/>
  <c r="CJ227" i="1" s="1"/>
  <c r="BV227" i="1"/>
  <c r="CG227" i="1" s="1"/>
  <c r="BZ227" i="1"/>
  <c r="CO227" i="1" s="1"/>
  <c r="CD227" i="1"/>
  <c r="CP227" i="1" s="1"/>
  <c r="CX227" i="1"/>
  <c r="DZ227" i="1"/>
  <c r="EX227" i="1"/>
  <c r="BY228" i="1"/>
  <c r="CC228" i="1"/>
  <c r="CW228" i="1"/>
  <c r="DC228" i="1" s="1"/>
  <c r="DJ228" i="1"/>
  <c r="BX229" i="1"/>
  <c r="CB229" i="1"/>
  <c r="EA229" i="1"/>
  <c r="EY229" i="1"/>
  <c r="K230" i="1"/>
  <c r="BL230" i="1"/>
  <c r="BN230" i="1"/>
  <c r="CE230" i="1" s="1"/>
  <c r="BP230" i="1"/>
  <c r="CI230" i="1" s="1"/>
  <c r="BR230" i="1"/>
  <c r="CF230" i="1" s="1"/>
  <c r="BT230" i="1"/>
  <c r="CJ230" i="1" s="1"/>
  <c r="BV230" i="1"/>
  <c r="CG230" i="1" s="1"/>
  <c r="BZ230" i="1"/>
  <c r="CO230" i="1" s="1"/>
  <c r="CD230" i="1"/>
  <c r="CP230" i="1" s="1"/>
  <c r="CH230" i="1"/>
  <c r="DZ230" i="1"/>
  <c r="EX230" i="1"/>
  <c r="BY231" i="1"/>
  <c r="CC231" i="1"/>
  <c r="CQ231" i="1"/>
  <c r="FV232" i="1"/>
  <c r="FX232" i="1" s="1"/>
  <c r="EA234" i="1"/>
  <c r="EX234" i="1"/>
  <c r="FL234" i="1"/>
  <c r="EA235" i="1"/>
  <c r="EX235" i="1"/>
  <c r="DV236" i="1"/>
  <c r="ED236" i="1"/>
  <c r="DV237" i="1"/>
  <c r="ED237" i="1"/>
  <c r="BZ238" i="1"/>
  <c r="CD238" i="1"/>
  <c r="CP238" i="1"/>
  <c r="DD238" i="1"/>
  <c r="EA238" i="1"/>
  <c r="EX238" i="1"/>
  <c r="N239" i="1"/>
  <c r="BM239" i="1"/>
  <c r="BQ239" i="1"/>
  <c r="BU239" i="1"/>
  <c r="CI239" i="1"/>
  <c r="DU239" i="1"/>
  <c r="DW239" i="1"/>
  <c r="DY239" i="1" s="1"/>
  <c r="EC239" i="1"/>
  <c r="BZ240" i="1"/>
  <c r="CD240" i="1"/>
  <c r="CP240" i="1"/>
  <c r="DD240" i="1"/>
  <c r="EA240" i="1"/>
  <c r="EX240" i="1"/>
  <c r="DU241" i="1"/>
  <c r="DW241" i="1"/>
  <c r="EC241" i="1"/>
  <c r="FL251" i="1"/>
  <c r="BY253" i="1"/>
  <c r="CC253" i="1"/>
  <c r="CQ253" i="1"/>
  <c r="K254" i="1"/>
  <c r="DZ254" i="1"/>
  <c r="EY254" i="1"/>
  <c r="DZ257" i="1"/>
  <c r="EX257" i="1"/>
  <c r="CM265" i="1"/>
  <c r="CK265" i="1"/>
  <c r="EY265" i="1"/>
  <c r="DZ265" i="1"/>
  <c r="CN265" i="1"/>
  <c r="CV265" i="1" s="1"/>
  <c r="DD265" i="1"/>
  <c r="EX265" i="1"/>
  <c r="CI266" i="1"/>
  <c r="EY266" i="1"/>
  <c r="EY272" i="1"/>
  <c r="EA272" i="1"/>
  <c r="DZ272" i="1"/>
  <c r="EX272" i="1"/>
  <c r="GC300" i="1"/>
  <c r="EA139" i="1"/>
  <c r="FY139" i="1"/>
  <c r="DU140" i="1"/>
  <c r="DW140" i="1"/>
  <c r="DU141" i="1"/>
  <c r="DW141" i="1"/>
  <c r="EA144" i="1"/>
  <c r="EA145" i="1"/>
  <c r="BY155" i="1"/>
  <c r="CC155" i="1"/>
  <c r="BX156" i="1"/>
  <c r="CB156" i="1"/>
  <c r="DV156" i="1"/>
  <c r="BY157" i="1"/>
  <c r="CC157" i="1"/>
  <c r="BX161" i="1"/>
  <c r="BZ161" i="1"/>
  <c r="CB161" i="1"/>
  <c r="CD161" i="1"/>
  <c r="EA161" i="1"/>
  <c r="M162" i="1"/>
  <c r="BX162" i="1"/>
  <c r="BZ162" i="1"/>
  <c r="CB162" i="1"/>
  <c r="CD162" i="1"/>
  <c r="EA162" i="1"/>
  <c r="BX163" i="1"/>
  <c r="BZ163" i="1"/>
  <c r="CO163" i="1" s="1"/>
  <c r="CB163" i="1"/>
  <c r="CD163" i="1"/>
  <c r="CP163" i="1" s="1"/>
  <c r="DV163" i="1"/>
  <c r="EA184" i="1"/>
  <c r="EA185" i="1"/>
  <c r="FY185" i="1"/>
  <c r="DU186" i="1"/>
  <c r="DW186" i="1"/>
  <c r="DZ188" i="1"/>
  <c r="FW432" i="1"/>
  <c r="FY432" i="1"/>
  <c r="FV432" i="1"/>
  <c r="EO420" i="1"/>
  <c r="ES420" i="1"/>
  <c r="ET420" i="1" s="1"/>
  <c r="FJ420" i="1"/>
  <c r="EL435" i="1"/>
  <c r="EU423" i="1"/>
  <c r="EV423" i="1" s="1"/>
  <c r="FK423" i="1"/>
  <c r="EO424" i="1"/>
  <c r="EA194" i="1"/>
  <c r="M195" i="1"/>
  <c r="AY195" i="1"/>
  <c r="BY195" i="1"/>
  <c r="CC195" i="1"/>
  <c r="CE195" i="1"/>
  <c r="DU195" i="1"/>
  <c r="DW195" i="1"/>
  <c r="DY195" i="1" s="1"/>
  <c r="BY196" i="1"/>
  <c r="CC196" i="1"/>
  <c r="CE196" i="1"/>
  <c r="DZ196" i="1"/>
  <c r="J197" i="1"/>
  <c r="DJ197" i="1" s="1"/>
  <c r="L197" i="1"/>
  <c r="DL197" i="1" s="1"/>
  <c r="BN197" i="1"/>
  <c r="BK197" i="1" s="1"/>
  <c r="CK197" i="1" s="1"/>
  <c r="BR197" i="1"/>
  <c r="BO197" i="1" s="1"/>
  <c r="CL197" i="1" s="1"/>
  <c r="BV197" i="1"/>
  <c r="BS197" i="1" s="1"/>
  <c r="CM197" i="1" s="1"/>
  <c r="BX197" i="1"/>
  <c r="CB197" i="1"/>
  <c r="EA197" i="1"/>
  <c r="M198" i="1"/>
  <c r="BX198" i="1"/>
  <c r="BZ198" i="1"/>
  <c r="CB198" i="1"/>
  <c r="CD198" i="1"/>
  <c r="EA198" i="1"/>
  <c r="BX199" i="1"/>
  <c r="BZ199" i="1"/>
  <c r="CB199" i="1"/>
  <c r="CD199" i="1"/>
  <c r="DV199" i="1"/>
  <c r="M205" i="1"/>
  <c r="BX205" i="1"/>
  <c r="BZ205" i="1"/>
  <c r="CB205" i="1"/>
  <c r="CD205" i="1"/>
  <c r="EA205" i="1"/>
  <c r="J206" i="1"/>
  <c r="L206" i="1"/>
  <c r="BY206" i="1"/>
  <c r="CC206" i="1"/>
  <c r="DZ206" i="1"/>
  <c r="DZ209" i="1"/>
  <c r="DZ210" i="1"/>
  <c r="FY210" i="1"/>
  <c r="DU211" i="1"/>
  <c r="DW211" i="1"/>
  <c r="DZ212" i="1"/>
  <c r="DZ213" i="1"/>
  <c r="DU214" i="1"/>
  <c r="DW214" i="1"/>
  <c r="DV215" i="1"/>
  <c r="DZ220" i="1"/>
  <c r="EA221" i="1"/>
  <c r="K222" i="1"/>
  <c r="M222" i="1"/>
  <c r="BL222" i="1"/>
  <c r="CH222" i="1" s="1"/>
  <c r="BN222" i="1"/>
  <c r="CE222" i="1" s="1"/>
  <c r="BP222" i="1"/>
  <c r="BR222" i="1"/>
  <c r="CF222" i="1" s="1"/>
  <c r="BT222" i="1"/>
  <c r="BV222" i="1"/>
  <c r="CG222" i="1" s="1"/>
  <c r="BX222" i="1"/>
  <c r="CQ222" i="1" s="1"/>
  <c r="BZ222" i="1"/>
  <c r="CO222" i="1" s="1"/>
  <c r="CB222" i="1"/>
  <c r="CD222" i="1"/>
  <c r="CP222" i="1" s="1"/>
  <c r="DZ222" i="1"/>
  <c r="D223" i="1"/>
  <c r="J223" i="1"/>
  <c r="L223" i="1"/>
  <c r="BM223" i="1"/>
  <c r="BQ223" i="1"/>
  <c r="BU223" i="1"/>
  <c r="BY223" i="1"/>
  <c r="CC223" i="1"/>
  <c r="EA223" i="1"/>
  <c r="K224" i="1"/>
  <c r="M224" i="1"/>
  <c r="BL224" i="1"/>
  <c r="CH224" i="1" s="1"/>
  <c r="BN224" i="1"/>
  <c r="CE224" i="1" s="1"/>
  <c r="BP224" i="1"/>
  <c r="BR224" i="1"/>
  <c r="CF224" i="1" s="1"/>
  <c r="BT224" i="1"/>
  <c r="BV224" i="1"/>
  <c r="CG224" i="1" s="1"/>
  <c r="BX224" i="1"/>
  <c r="BZ224" i="1"/>
  <c r="CO224" i="1" s="1"/>
  <c r="CB224" i="1"/>
  <c r="CD224" i="1"/>
  <c r="CP224" i="1" s="1"/>
  <c r="DZ224" i="1"/>
  <c r="D225" i="1"/>
  <c r="J225" i="1"/>
  <c r="L225" i="1"/>
  <c r="BM225" i="1"/>
  <c r="BQ225" i="1"/>
  <c r="BU225" i="1"/>
  <c r="BY225" i="1"/>
  <c r="CC225" i="1"/>
  <c r="EA225" i="1"/>
  <c r="M226" i="1"/>
  <c r="BL226" i="1"/>
  <c r="CH226" i="1" s="1"/>
  <c r="BN226" i="1"/>
  <c r="CE226" i="1" s="1"/>
  <c r="BP226" i="1"/>
  <c r="BR226" i="1"/>
  <c r="BT226" i="1"/>
  <c r="BV226" i="1"/>
  <c r="BX226" i="1"/>
  <c r="BZ226" i="1"/>
  <c r="CO226" i="1" s="1"/>
  <c r="CB226" i="1"/>
  <c r="CD226" i="1"/>
  <c r="CP226" i="1" s="1"/>
  <c r="DZ226" i="1"/>
  <c r="D227" i="1"/>
  <c r="BM227" i="1"/>
  <c r="BQ227" i="1"/>
  <c r="BU227" i="1"/>
  <c r="BY227" i="1"/>
  <c r="CC227" i="1"/>
  <c r="CW227" i="1"/>
  <c r="DC227" i="1" s="1"/>
  <c r="EA227" i="1"/>
  <c r="M228" i="1"/>
  <c r="BL228" i="1"/>
  <c r="CH228" i="1" s="1"/>
  <c r="BN228" i="1"/>
  <c r="CE228" i="1" s="1"/>
  <c r="BP228" i="1"/>
  <c r="BR228" i="1"/>
  <c r="CF228" i="1" s="1"/>
  <c r="BT228" i="1"/>
  <c r="BV228" i="1"/>
  <c r="CG228" i="1" s="1"/>
  <c r="BX228" i="1"/>
  <c r="BZ228" i="1"/>
  <c r="CO228" i="1" s="1"/>
  <c r="CB228" i="1"/>
  <c r="CD228" i="1"/>
  <c r="CP228" i="1" s="1"/>
  <c r="DZ228" i="1"/>
  <c r="M229" i="1"/>
  <c r="BY229" i="1"/>
  <c r="DZ229" i="1"/>
  <c r="D230" i="1"/>
  <c r="J230" i="1"/>
  <c r="L230" i="1"/>
  <c r="BM230" i="1"/>
  <c r="BQ230" i="1"/>
  <c r="BU230" i="1"/>
  <c r="BY230" i="1"/>
  <c r="CC230" i="1"/>
  <c r="EA230" i="1"/>
  <c r="M231" i="1"/>
  <c r="BX231" i="1"/>
  <c r="BZ231" i="1"/>
  <c r="CB231" i="1"/>
  <c r="CD231" i="1"/>
  <c r="DZ231" i="1"/>
  <c r="EA232" i="1"/>
  <c r="FY232" i="1"/>
  <c r="DU233" i="1"/>
  <c r="DW233" i="1"/>
  <c r="DZ234" i="1"/>
  <c r="DZ235" i="1"/>
  <c r="AY236" i="1"/>
  <c r="DU236" i="1"/>
  <c r="DW236" i="1"/>
  <c r="AY237" i="1"/>
  <c r="DU237" i="1"/>
  <c r="DW237" i="1"/>
  <c r="BY238" i="1"/>
  <c r="CC238" i="1"/>
  <c r="CE238" i="1"/>
  <c r="DZ238" i="1"/>
  <c r="K239" i="1"/>
  <c r="DK239" i="1" s="1"/>
  <c r="R239" i="1"/>
  <c r="AY239" i="1"/>
  <c r="BL239" i="1"/>
  <c r="BN239" i="1"/>
  <c r="BP239" i="1"/>
  <c r="BR239" i="1"/>
  <c r="CF239" i="1" s="1"/>
  <c r="BT239" i="1"/>
  <c r="BV239" i="1"/>
  <c r="CG239" i="1" s="1"/>
  <c r="CH239" i="1"/>
  <c r="DV239" i="1"/>
  <c r="BY240" i="1"/>
  <c r="CC240" i="1"/>
  <c r="CE240" i="1"/>
  <c r="DZ240" i="1"/>
  <c r="AY241" i="1"/>
  <c r="BZ241" i="1"/>
  <c r="CD241" i="1"/>
  <c r="CA241" i="1" s="1"/>
  <c r="DV241" i="1"/>
  <c r="DZ247" i="1"/>
  <c r="EA248" i="1"/>
  <c r="DU249" i="1"/>
  <c r="DW249" i="1"/>
  <c r="EA250" i="1"/>
  <c r="DV251" i="1"/>
  <c r="DU252" i="1"/>
  <c r="DW252" i="1"/>
  <c r="M253" i="1"/>
  <c r="BX253" i="1"/>
  <c r="BZ253" i="1"/>
  <c r="CB253" i="1"/>
  <c r="CD253" i="1"/>
  <c r="EA253" i="1"/>
  <c r="J254" i="1"/>
  <c r="L254" i="1"/>
  <c r="BN254" i="1"/>
  <c r="BK254" i="1" s="1"/>
  <c r="CK254" i="1" s="1"/>
  <c r="BR254" i="1"/>
  <c r="BO254" i="1" s="1"/>
  <c r="CL254" i="1" s="1"/>
  <c r="BV254" i="1"/>
  <c r="BS254" i="1" s="1"/>
  <c r="CM254" i="1" s="1"/>
  <c r="BX254" i="1"/>
  <c r="BZ254" i="1"/>
  <c r="CO254" i="1" s="1"/>
  <c r="CB254" i="1"/>
  <c r="CD254" i="1"/>
  <c r="CP254" i="1" s="1"/>
  <c r="DH254" i="1"/>
  <c r="EA254" i="1"/>
  <c r="EA257" i="1"/>
  <c r="EA258" i="1"/>
  <c r="DU259" i="1"/>
  <c r="DW259" i="1"/>
  <c r="EA260" i="1"/>
  <c r="CQ265" i="1"/>
  <c r="CC265" i="1"/>
  <c r="BY265" i="1"/>
  <c r="M265" i="1"/>
  <c r="CL265" i="1"/>
  <c r="EA265" i="1"/>
  <c r="CQ266" i="1"/>
  <c r="CC266" i="1"/>
  <c r="BY266" i="1"/>
  <c r="M266" i="1"/>
  <c r="EX266" i="1"/>
  <c r="CH266" i="1"/>
  <c r="FL266" i="1"/>
  <c r="BV267" i="1"/>
  <c r="BS267" i="1" s="1"/>
  <c r="BR267" i="1"/>
  <c r="BO267" i="1" s="1"/>
  <c r="BN267" i="1"/>
  <c r="L267" i="1"/>
  <c r="J267" i="1"/>
  <c r="CD267" i="1"/>
  <c r="CP267" i="1" s="1"/>
  <c r="BZ267" i="1"/>
  <c r="CO267" i="1" s="1"/>
  <c r="DB267" i="1"/>
  <c r="FV273" i="1"/>
  <c r="FX273" i="1" s="1"/>
  <c r="DA281" i="1"/>
  <c r="DZ281" i="1"/>
  <c r="EY281" i="1"/>
  <c r="J282" i="1"/>
  <c r="L282" i="1"/>
  <c r="BM282" i="1"/>
  <c r="BQ282" i="1"/>
  <c r="BU282" i="1"/>
  <c r="BY282" i="1"/>
  <c r="CC282" i="1"/>
  <c r="DU282" i="1"/>
  <c r="DW282" i="1"/>
  <c r="DY282" i="1" s="1"/>
  <c r="EJ282" i="1"/>
  <c r="J283" i="1"/>
  <c r="L283" i="1"/>
  <c r="N283" i="1"/>
  <c r="BH283" i="1"/>
  <c r="BL283" i="1"/>
  <c r="CH283" i="1" s="1"/>
  <c r="BN283" i="1"/>
  <c r="BP283" i="1"/>
  <c r="BR283" i="1"/>
  <c r="CF283" i="1" s="1"/>
  <c r="BT283" i="1"/>
  <c r="CJ283" i="1" s="1"/>
  <c r="BV283" i="1"/>
  <c r="CG283" i="1" s="1"/>
  <c r="EA283" i="1"/>
  <c r="EI283" i="1"/>
  <c r="FK283" i="1" s="1"/>
  <c r="EU283" i="1"/>
  <c r="EY283" i="1"/>
  <c r="BX284" i="1"/>
  <c r="BZ284" i="1"/>
  <c r="CB284" i="1"/>
  <c r="CD284" i="1"/>
  <c r="CP284" i="1"/>
  <c r="CR284" i="1"/>
  <c r="DD284" i="1"/>
  <c r="EA284" i="1"/>
  <c r="EX284" i="1"/>
  <c r="K285" i="1"/>
  <c r="M285" i="1"/>
  <c r="AY285" i="1"/>
  <c r="BL285" i="1"/>
  <c r="CH285" i="1" s="1"/>
  <c r="BN285" i="1"/>
  <c r="CE285" i="1" s="1"/>
  <c r="BP285" i="1"/>
  <c r="BR285" i="1"/>
  <c r="CF285" i="1" s="1"/>
  <c r="BT285" i="1"/>
  <c r="CJ285" i="1" s="1"/>
  <c r="BV285" i="1"/>
  <c r="CG285" i="1" s="1"/>
  <c r="BX285" i="1"/>
  <c r="BZ285" i="1"/>
  <c r="CO285" i="1" s="1"/>
  <c r="CB285" i="1"/>
  <c r="CR285" i="1" s="1"/>
  <c r="CD285" i="1"/>
  <c r="CP285" i="1" s="1"/>
  <c r="DV285" i="1"/>
  <c r="DY285" i="1" s="1"/>
  <c r="BY286" i="1"/>
  <c r="CC286" i="1"/>
  <c r="CQ286" i="1"/>
  <c r="DZ286" i="1"/>
  <c r="EY286" i="1"/>
  <c r="BY287" i="1"/>
  <c r="CC287" i="1"/>
  <c r="DU287" i="1"/>
  <c r="DW287" i="1"/>
  <c r="DZ288" i="1"/>
  <c r="EY288" i="1"/>
  <c r="BX289" i="1"/>
  <c r="BZ289" i="1"/>
  <c r="CB289" i="1"/>
  <c r="CD289" i="1"/>
  <c r="CP289" i="1"/>
  <c r="CR289" i="1"/>
  <c r="DD289" i="1"/>
  <c r="EA289" i="1"/>
  <c r="EX289" i="1"/>
  <c r="CS290" i="1"/>
  <c r="CU290" i="1"/>
  <c r="DZ290" i="1"/>
  <c r="EY290" i="1"/>
  <c r="AG299" i="1"/>
  <c r="BZ299" i="1"/>
  <c r="DE299" i="1"/>
  <c r="DH299" i="1" s="1"/>
  <c r="EA299" i="1"/>
  <c r="EY299" i="1"/>
  <c r="DZ300" i="1"/>
  <c r="EY300" i="1"/>
  <c r="FY300" i="1"/>
  <c r="GE300" i="1"/>
  <c r="DU301" i="1"/>
  <c r="DW301" i="1"/>
  <c r="ED301" i="1"/>
  <c r="DV303" i="1"/>
  <c r="ED303" i="1"/>
  <c r="AY304" i="1"/>
  <c r="DU304" i="1"/>
  <c r="DW304" i="1"/>
  <c r="EC304" i="1"/>
  <c r="DZ313" i="1"/>
  <c r="EX313" i="1"/>
  <c r="N417" i="1"/>
  <c r="CY417" i="1"/>
  <c r="DE417" i="1"/>
  <c r="DG417" i="1"/>
  <c r="EA314" i="1"/>
  <c r="EX314" i="1"/>
  <c r="EA316" i="1"/>
  <c r="EX316" i="1"/>
  <c r="EA317" i="1"/>
  <c r="EX317" i="1"/>
  <c r="DV318" i="1"/>
  <c r="EC318" i="1"/>
  <c r="DZ320" i="1"/>
  <c r="EY320" i="1"/>
  <c r="BY321" i="1"/>
  <c r="CC321" i="1"/>
  <c r="CE321" i="1"/>
  <c r="CO321" i="1"/>
  <c r="CQ321" i="1"/>
  <c r="DA321" i="1"/>
  <c r="DZ321" i="1"/>
  <c r="EY321" i="1"/>
  <c r="J322" i="1"/>
  <c r="L322" i="1"/>
  <c r="BM322" i="1"/>
  <c r="BQ322" i="1"/>
  <c r="BU322" i="1"/>
  <c r="BY322" i="1"/>
  <c r="CC322" i="1"/>
  <c r="DU322" i="1"/>
  <c r="DW322" i="1"/>
  <c r="ED322" i="1"/>
  <c r="EM322" i="1"/>
  <c r="EM417" i="1" s="1"/>
  <c r="EM418" i="1" s="1"/>
  <c r="EM430" i="1" s="1"/>
  <c r="J323" i="1"/>
  <c r="L323" i="1"/>
  <c r="N323" i="1"/>
  <c r="BM323" i="1"/>
  <c r="BQ323" i="1"/>
  <c r="BU323" i="1"/>
  <c r="DU323" i="1"/>
  <c r="DW323" i="1"/>
  <c r="DY323" i="1" s="1"/>
  <c r="M324" i="1"/>
  <c r="BX324" i="1"/>
  <c r="BZ324" i="1"/>
  <c r="CB324" i="1"/>
  <c r="CD324" i="1"/>
  <c r="CP324" i="1"/>
  <c r="CR324" i="1"/>
  <c r="DD324" i="1"/>
  <c r="EA324" i="1"/>
  <c r="EX324" i="1"/>
  <c r="K325" i="1"/>
  <c r="M325" i="1"/>
  <c r="AY325" i="1"/>
  <c r="BL325" i="1"/>
  <c r="CH325" i="1" s="1"/>
  <c r="BN325" i="1"/>
  <c r="CE325" i="1" s="1"/>
  <c r="BP325" i="1"/>
  <c r="BR325" i="1"/>
  <c r="CF325" i="1" s="1"/>
  <c r="BT325" i="1"/>
  <c r="CJ325" i="1" s="1"/>
  <c r="BV325" i="1"/>
  <c r="CG325" i="1" s="1"/>
  <c r="BX325" i="1"/>
  <c r="BZ325" i="1"/>
  <c r="CO325" i="1" s="1"/>
  <c r="CB325" i="1"/>
  <c r="CR325" i="1" s="1"/>
  <c r="CD325" i="1"/>
  <c r="CP325" i="1" s="1"/>
  <c r="DV325" i="1"/>
  <c r="EC325" i="1"/>
  <c r="J326" i="1"/>
  <c r="L326" i="1"/>
  <c r="BN326" i="1"/>
  <c r="BK326" i="1" s="1"/>
  <c r="CK326" i="1" s="1"/>
  <c r="BR326" i="1"/>
  <c r="BO326" i="1" s="1"/>
  <c r="CL326" i="1" s="1"/>
  <c r="BV326" i="1"/>
  <c r="BS326" i="1" s="1"/>
  <c r="CM326" i="1" s="1"/>
  <c r="BX326" i="1"/>
  <c r="CB326" i="1"/>
  <c r="CR326" i="1" s="1"/>
  <c r="DV326" i="1"/>
  <c r="DY326" i="1" s="1"/>
  <c r="CE265" i="1"/>
  <c r="K266" i="1"/>
  <c r="DW266" i="1"/>
  <c r="DY266" i="1" s="1"/>
  <c r="EA266" i="1"/>
  <c r="ED266" i="1"/>
  <c r="BX267" i="1"/>
  <c r="CB267" i="1"/>
  <c r="EA267" i="1"/>
  <c r="EA273" i="1"/>
  <c r="FY273" i="1"/>
  <c r="DU274" i="1"/>
  <c r="DW274" i="1"/>
  <c r="EA275" i="1"/>
  <c r="EA281" i="1"/>
  <c r="K282" i="1"/>
  <c r="M282" i="1"/>
  <c r="AY282" i="1"/>
  <c r="BL282" i="1"/>
  <c r="CH282" i="1" s="1"/>
  <c r="BN282" i="1"/>
  <c r="CE282" i="1" s="1"/>
  <c r="BP282" i="1"/>
  <c r="BR282" i="1"/>
  <c r="CF282" i="1" s="1"/>
  <c r="BT282" i="1"/>
  <c r="BV282" i="1"/>
  <c r="CG282" i="1" s="1"/>
  <c r="BX282" i="1"/>
  <c r="BZ282" i="1"/>
  <c r="CO282" i="1" s="1"/>
  <c r="CB282" i="1"/>
  <c r="CD282" i="1"/>
  <c r="CP282" i="1" s="1"/>
  <c r="EN282" i="1"/>
  <c r="K283" i="1"/>
  <c r="R283" i="1"/>
  <c r="BM283" i="1"/>
  <c r="BQ283" i="1"/>
  <c r="BU283" i="1"/>
  <c r="DU283" i="1"/>
  <c r="DZ283" i="1"/>
  <c r="EG283" i="1"/>
  <c r="ES283" i="1"/>
  <c r="BY284" i="1"/>
  <c r="CC284" i="1"/>
  <c r="CE284" i="1"/>
  <c r="DZ284" i="1"/>
  <c r="J285" i="1"/>
  <c r="L285" i="1"/>
  <c r="BM285" i="1"/>
  <c r="BQ285" i="1"/>
  <c r="BU285" i="1"/>
  <c r="BY285" i="1"/>
  <c r="CC285" i="1"/>
  <c r="DU285" i="1"/>
  <c r="M286" i="1"/>
  <c r="BX286" i="1"/>
  <c r="BZ286" i="1"/>
  <c r="CB286" i="1"/>
  <c r="CD286" i="1"/>
  <c r="EA286" i="1"/>
  <c r="K287" i="1"/>
  <c r="M287" i="1"/>
  <c r="AY287" i="1"/>
  <c r="BL287" i="1"/>
  <c r="CH287" i="1" s="1"/>
  <c r="BN287" i="1"/>
  <c r="CE287" i="1" s="1"/>
  <c r="BP287" i="1"/>
  <c r="BR287" i="1"/>
  <c r="CF287" i="1" s="1"/>
  <c r="BT287" i="1"/>
  <c r="BV287" i="1"/>
  <c r="CG287" i="1" s="1"/>
  <c r="BX287" i="1"/>
  <c r="BZ287" i="1"/>
  <c r="CO287" i="1" s="1"/>
  <c r="CB287" i="1"/>
  <c r="CD287" i="1"/>
  <c r="CP287" i="1" s="1"/>
  <c r="DV287" i="1"/>
  <c r="K288" i="1"/>
  <c r="R288" i="1"/>
  <c r="BL288" i="1"/>
  <c r="CH288" i="1" s="1"/>
  <c r="BN288" i="1"/>
  <c r="BP288" i="1"/>
  <c r="BR288" i="1"/>
  <c r="CF288" i="1" s="1"/>
  <c r="BT288" i="1"/>
  <c r="BV288" i="1"/>
  <c r="CG288" i="1" s="1"/>
  <c r="EA288" i="1"/>
  <c r="BY289" i="1"/>
  <c r="CC289" i="1"/>
  <c r="CE289" i="1"/>
  <c r="DZ289" i="1"/>
  <c r="EA290" i="1"/>
  <c r="DZ299" i="1"/>
  <c r="EA300" i="1"/>
  <c r="FQ300" i="1"/>
  <c r="FV300" i="1"/>
  <c r="AY301" i="1"/>
  <c r="DV301" i="1"/>
  <c r="EA302" i="1"/>
  <c r="DU303" i="1"/>
  <c r="DW303" i="1"/>
  <c r="DV304" i="1"/>
  <c r="FN417" i="1"/>
  <c r="EA313" i="1"/>
  <c r="E417" i="1"/>
  <c r="R417" i="1"/>
  <c r="CZ417" i="1"/>
  <c r="DF417" i="1"/>
  <c r="DZ314" i="1"/>
  <c r="DV315" i="1"/>
  <c r="DZ316" i="1"/>
  <c r="DZ317" i="1"/>
  <c r="AY318" i="1"/>
  <c r="DU318" i="1"/>
  <c r="DW318" i="1"/>
  <c r="DV319" i="1"/>
  <c r="EA320" i="1"/>
  <c r="BX321" i="1"/>
  <c r="BZ321" i="1"/>
  <c r="CB321" i="1"/>
  <c r="CD321" i="1"/>
  <c r="EA321" i="1"/>
  <c r="K322" i="1"/>
  <c r="M322" i="1"/>
  <c r="AY322" i="1"/>
  <c r="BL322" i="1"/>
  <c r="CH322" i="1" s="1"/>
  <c r="BN322" i="1"/>
  <c r="CE322" i="1" s="1"/>
  <c r="BP322" i="1"/>
  <c r="BR322" i="1"/>
  <c r="CF322" i="1" s="1"/>
  <c r="BT322" i="1"/>
  <c r="BV322" i="1"/>
  <c r="CG322" i="1" s="1"/>
  <c r="BX322" i="1"/>
  <c r="BZ322" i="1"/>
  <c r="CO322" i="1" s="1"/>
  <c r="CB322" i="1"/>
  <c r="CD322" i="1"/>
  <c r="CP322" i="1" s="1"/>
  <c r="DV322" i="1"/>
  <c r="K323" i="1"/>
  <c r="R323" i="1"/>
  <c r="AY323" i="1"/>
  <c r="BL323" i="1"/>
  <c r="CH323" i="1" s="1"/>
  <c r="BN323" i="1"/>
  <c r="BP323" i="1"/>
  <c r="BR323" i="1"/>
  <c r="CF323" i="1" s="1"/>
  <c r="BT323" i="1"/>
  <c r="BV323" i="1"/>
  <c r="CG323" i="1" s="1"/>
  <c r="BY324" i="1"/>
  <c r="CC324" i="1"/>
  <c r="CE324" i="1"/>
  <c r="DZ324" i="1"/>
  <c r="BM325" i="1"/>
  <c r="BQ325" i="1"/>
  <c r="BU325" i="1"/>
  <c r="BY325" i="1"/>
  <c r="CC325" i="1"/>
  <c r="DU325" i="1"/>
  <c r="DW325" i="1"/>
  <c r="K326" i="1"/>
  <c r="R326" i="1"/>
  <c r="BY326" i="1"/>
  <c r="CC326" i="1"/>
  <c r="DU326" i="1"/>
  <c r="EY344" i="1"/>
  <c r="DZ344" i="1"/>
  <c r="EX344" i="1"/>
  <c r="EA344" i="1"/>
  <c r="GC349" i="1"/>
  <c r="EA334" i="1"/>
  <c r="EY334" i="1"/>
  <c r="DZ335" i="1"/>
  <c r="EY335" i="1"/>
  <c r="AY336" i="1"/>
  <c r="DV336" i="1"/>
  <c r="EC336" i="1"/>
  <c r="EA338" i="1"/>
  <c r="EX338" i="1"/>
  <c r="EA345" i="1"/>
  <c r="ED422" i="1"/>
  <c r="EX345" i="1"/>
  <c r="DZ348" i="1"/>
  <c r="EX348" i="1"/>
  <c r="EA349" i="1"/>
  <c r="EX349" i="1"/>
  <c r="FY349" i="1"/>
  <c r="DU350" i="1"/>
  <c r="DW350" i="1"/>
  <c r="ED350" i="1"/>
  <c r="DV354" i="1"/>
  <c r="ED354" i="1"/>
  <c r="DV355" i="1"/>
  <c r="ED355" i="1"/>
  <c r="GF421" i="1"/>
  <c r="DZ334" i="1"/>
  <c r="EA335" i="1"/>
  <c r="DU336" i="1"/>
  <c r="DW336" i="1"/>
  <c r="DZ338" i="1"/>
  <c r="GA419" i="1"/>
  <c r="EA340" i="1"/>
  <c r="DU341" i="1"/>
  <c r="DW341" i="1"/>
  <c r="DU342" i="1"/>
  <c r="DW342" i="1"/>
  <c r="DV343" i="1"/>
  <c r="DZ345" i="1"/>
  <c r="EC422" i="1"/>
  <c r="BU438" i="1"/>
  <c r="EA348" i="1"/>
  <c r="DZ349" i="1"/>
  <c r="FV349" i="1"/>
  <c r="AY350" i="1"/>
  <c r="DV350" i="1"/>
  <c r="DZ351" i="1"/>
  <c r="EA352" i="1"/>
  <c r="DZ353" i="1"/>
  <c r="AY354" i="1"/>
  <c r="DU354" i="1"/>
  <c r="DW354" i="1"/>
  <c r="AY355" i="1"/>
  <c r="DU355" i="1"/>
  <c r="DW355" i="1"/>
  <c r="GC365" i="1"/>
  <c r="BY358" i="1"/>
  <c r="CC358" i="1"/>
  <c r="CE358" i="1"/>
  <c r="CO358" i="1"/>
  <c r="CQ358" i="1"/>
  <c r="DA358" i="1"/>
  <c r="DZ358" i="1"/>
  <c r="EY358" i="1"/>
  <c r="K359" i="1"/>
  <c r="R359" i="1"/>
  <c r="AY359" i="1"/>
  <c r="BL359" i="1"/>
  <c r="CH359" i="1" s="1"/>
  <c r="BN359" i="1"/>
  <c r="BP359" i="1"/>
  <c r="CI359" i="1" s="1"/>
  <c r="BR359" i="1"/>
  <c r="CF359" i="1" s="1"/>
  <c r="BT359" i="1"/>
  <c r="CJ359" i="1" s="1"/>
  <c r="BV359" i="1"/>
  <c r="CG359" i="1" s="1"/>
  <c r="DV359" i="1"/>
  <c r="DY359" i="1" s="1"/>
  <c r="EC348" i="1"/>
  <c r="DZ364" i="1"/>
  <c r="EX364" i="1"/>
  <c r="R419" i="1"/>
  <c r="CZ419" i="1"/>
  <c r="CZ431" i="1" s="1"/>
  <c r="DF419" i="1"/>
  <c r="DF431" i="1" s="1"/>
  <c r="DZ365" i="1"/>
  <c r="EY365" i="1"/>
  <c r="FV365" i="1"/>
  <c r="AY366" i="1"/>
  <c r="BA412" i="1"/>
  <c r="DV366" i="1"/>
  <c r="EN412" i="1"/>
  <c r="EU412" i="1"/>
  <c r="FK412" i="1"/>
  <c r="DZ368" i="1"/>
  <c r="EY368" i="1"/>
  <c r="AY369" i="1"/>
  <c r="DU369" i="1"/>
  <c r="DW369" i="1"/>
  <c r="EC369" i="1"/>
  <c r="AY370" i="1"/>
  <c r="DU370" i="1"/>
  <c r="DW370" i="1"/>
  <c r="EC370" i="1"/>
  <c r="EA375" i="1"/>
  <c r="EY375" i="1"/>
  <c r="EO415" i="1"/>
  <c r="EQ415" i="1" s="1"/>
  <c r="FJ415" i="1"/>
  <c r="FZ415" i="1"/>
  <c r="GC415" i="1" s="1"/>
  <c r="GB415" i="1"/>
  <c r="GD415" i="1" s="1"/>
  <c r="GJ415" i="1"/>
  <c r="GN415" i="1"/>
  <c r="EU415" i="1"/>
  <c r="EV415" i="1" s="1"/>
  <c r="CR392" i="1"/>
  <c r="BX392" i="1"/>
  <c r="M392" i="1"/>
  <c r="CB392" i="1"/>
  <c r="CQ392" i="1"/>
  <c r="FL392" i="1"/>
  <c r="EO421" i="1"/>
  <c r="EQ393" i="1"/>
  <c r="GJ421" i="1"/>
  <c r="GN421" i="1"/>
  <c r="GX421" i="1"/>
  <c r="EY394" i="1"/>
  <c r="DZ394" i="1"/>
  <c r="EX394" i="1"/>
  <c r="DJ395" i="1"/>
  <c r="DL395" i="1"/>
  <c r="M358" i="1"/>
  <c r="BX358" i="1"/>
  <c r="BZ358" i="1"/>
  <c r="CB358" i="1"/>
  <c r="CD358" i="1"/>
  <c r="EA358" i="1"/>
  <c r="J359" i="1"/>
  <c r="L359" i="1"/>
  <c r="N359" i="1"/>
  <c r="BM359" i="1"/>
  <c r="BQ359" i="1"/>
  <c r="BU359" i="1"/>
  <c r="DU359" i="1"/>
  <c r="EA364" i="1"/>
  <c r="N419" i="1"/>
  <c r="CY419" i="1"/>
  <c r="CY431" i="1" s="1"/>
  <c r="DE419" i="1"/>
  <c r="DE431" i="1" s="1"/>
  <c r="DG419" i="1"/>
  <c r="DG431" i="1" s="1"/>
  <c r="EA365" i="1"/>
  <c r="AZ412" i="1"/>
  <c r="BB412" i="1"/>
  <c r="DU366" i="1"/>
  <c r="DW366" i="1"/>
  <c r="ED366" i="1"/>
  <c r="EO412" i="1"/>
  <c r="ES412" i="1"/>
  <c r="FJ412" i="1"/>
  <c r="FL366" i="1"/>
  <c r="EA368" i="1"/>
  <c r="DV369" i="1"/>
  <c r="DV370" i="1"/>
  <c r="FM438" i="1"/>
  <c r="DZ375" i="1"/>
  <c r="ES415" i="1"/>
  <c r="ET415" i="1" s="1"/>
  <c r="FZ416" i="1"/>
  <c r="GC416" i="1" s="1"/>
  <c r="FJ421" i="1"/>
  <c r="FL393" i="1"/>
  <c r="FY421" i="1"/>
  <c r="FZ421" i="1"/>
  <c r="GC421" i="1" s="1"/>
  <c r="GB421" i="1"/>
  <c r="GD421" i="1" s="1"/>
  <c r="CR395" i="1"/>
  <c r="BX395" i="1"/>
  <c r="BW395" i="1" s="1"/>
  <c r="M395" i="1"/>
  <c r="CQ395" i="1"/>
  <c r="CB395" i="1"/>
  <c r="CA395" i="1" s="1"/>
  <c r="DZ395" i="1"/>
  <c r="EY395" i="1"/>
  <c r="CB396" i="1"/>
  <c r="CQ396" i="1"/>
  <c r="BX397" i="1"/>
  <c r="CR397" i="1"/>
  <c r="DD397" i="1"/>
  <c r="DV397" i="1"/>
  <c r="EY398" i="1"/>
  <c r="DZ398" i="1"/>
  <c r="EA398" i="1"/>
  <c r="L399" i="1"/>
  <c r="J399" i="1"/>
  <c r="BN399" i="1"/>
  <c r="BK399" i="1" s="1"/>
  <c r="CK399" i="1" s="1"/>
  <c r="BV399" i="1"/>
  <c r="CG399" i="1" s="1"/>
  <c r="CH399" i="1"/>
  <c r="L400" i="1"/>
  <c r="J400" i="1"/>
  <c r="BN400" i="1"/>
  <c r="BK400" i="1" s="1"/>
  <c r="CK400" i="1" s="1"/>
  <c r="BV400" i="1"/>
  <c r="CG400" i="1" s="1"/>
  <c r="CH400" i="1"/>
  <c r="EL438" i="1"/>
  <c r="DD403" i="1"/>
  <c r="GJ422" i="1"/>
  <c r="EQ416" i="1"/>
  <c r="GZ416" i="1"/>
  <c r="CD392" i="1"/>
  <c r="EA392" i="1"/>
  <c r="EN421" i="1"/>
  <c r="EN433" i="1" s="1"/>
  <c r="FK421" i="1"/>
  <c r="FW421" i="1"/>
  <c r="GA421" i="1"/>
  <c r="GE421" i="1"/>
  <c r="GG421" i="1" s="1"/>
  <c r="GI421" i="1"/>
  <c r="GK421" i="1" s="1"/>
  <c r="GM421" i="1"/>
  <c r="DK395" i="1"/>
  <c r="EA395" i="1"/>
  <c r="M396" i="1"/>
  <c r="BX396" i="1"/>
  <c r="CD396" i="1"/>
  <c r="EA396" i="1"/>
  <c r="K397" i="1"/>
  <c r="DK397" i="1" s="1"/>
  <c r="R397" i="1"/>
  <c r="AY397" i="1"/>
  <c r="CB397" i="1"/>
  <c r="DU397" i="1"/>
  <c r="CO398" i="1"/>
  <c r="CE398" i="1"/>
  <c r="BZ398" i="1"/>
  <c r="BW398" i="1" s="1"/>
  <c r="DD398" i="1"/>
  <c r="EX398" i="1"/>
  <c r="K399" i="1"/>
  <c r="DW399" i="1"/>
  <c r="DU399" i="1"/>
  <c r="AY399" i="1"/>
  <c r="CI399" i="1"/>
  <c r="BR399" i="1"/>
  <c r="CF399" i="1" s="1"/>
  <c r="CQ399" i="1"/>
  <c r="CJ399" i="1"/>
  <c r="DV399" i="1"/>
  <c r="K400" i="1"/>
  <c r="DW400" i="1"/>
  <c r="DU400" i="1"/>
  <c r="AY400" i="1"/>
  <c r="CI400" i="1"/>
  <c r="BR400" i="1"/>
  <c r="BO400" i="1" s="1"/>
  <c r="CQ400" i="1"/>
  <c r="CJ400" i="1"/>
  <c r="DV400" i="1"/>
  <c r="E438" i="1"/>
  <c r="BQ438" i="1"/>
  <c r="BM438" i="1"/>
  <c r="CY438" i="1"/>
  <c r="DE438" i="1"/>
  <c r="DG438" i="1"/>
  <c r="CP402" i="1"/>
  <c r="CD402" i="1"/>
  <c r="FL402" i="1"/>
  <c r="CQ403" i="1"/>
  <c r="CB403" i="1"/>
  <c r="CA403" i="1" s="1"/>
  <c r="M403" i="1"/>
  <c r="EO422" i="1"/>
  <c r="EQ403" i="1"/>
  <c r="FJ422" i="1"/>
  <c r="FL403" i="1"/>
  <c r="FZ422" i="1"/>
  <c r="GC422" i="1" s="1"/>
  <c r="GB422" i="1"/>
  <c r="GD422" i="1" s="1"/>
  <c r="BB417" i="1"/>
  <c r="GZ414" i="1"/>
  <c r="AZ446" i="1"/>
  <c r="CB398" i="1"/>
  <c r="BZ399" i="1"/>
  <c r="CO399" i="1" s="1"/>
  <c r="BZ400" i="1"/>
  <c r="CO400" i="1" s="1"/>
  <c r="N438" i="1"/>
  <c r="CZ438" i="1"/>
  <c r="DF438" i="1"/>
  <c r="FN438" i="1"/>
  <c r="BX402" i="1"/>
  <c r="EA402" i="1"/>
  <c r="BZ403" i="1"/>
  <c r="CO403" i="1" s="1"/>
  <c r="CE403" i="1"/>
  <c r="DU403" i="1"/>
  <c r="EN422" i="1"/>
  <c r="EN434" i="1" s="1"/>
  <c r="FK422" i="1"/>
  <c r="FW422" i="1"/>
  <c r="GA422" i="1"/>
  <c r="GE422" i="1"/>
  <c r="GG422" i="1" s="1"/>
  <c r="GI422" i="1"/>
  <c r="GK422" i="1" s="1"/>
  <c r="BA417" i="1"/>
  <c r="FV411" i="1"/>
  <c r="FX411" i="1" s="1"/>
  <c r="AZ417" i="1"/>
  <c r="AZ441" i="1"/>
  <c r="FW433" i="1"/>
  <c r="FY433" i="1"/>
  <c r="FV433" i="1"/>
  <c r="FW431" i="1"/>
  <c r="FV431" i="1"/>
  <c r="FY431" i="1"/>
  <c r="FW434" i="1"/>
  <c r="FY434" i="1"/>
  <c r="FV434" i="1"/>
  <c r="ET421" i="1"/>
  <c r="FF421" i="1"/>
  <c r="FY435" i="1"/>
  <c r="EV421" i="1"/>
  <c r="EV422" i="1"/>
  <c r="FW437" i="1"/>
  <c r="FY437" i="1"/>
  <c r="EO440" i="1"/>
  <c r="FY440" i="1"/>
  <c r="AW222" i="1" l="1"/>
  <c r="AW323" i="1"/>
  <c r="I417" i="1"/>
  <c r="D417" i="1" s="1"/>
  <c r="CS111" i="1"/>
  <c r="CT238" i="1"/>
  <c r="CU111" i="1"/>
  <c r="FK209" i="1"/>
  <c r="CF110" i="1"/>
  <c r="FM418" i="1"/>
  <c r="CA402" i="1"/>
  <c r="FL126" i="1"/>
  <c r="GY209" i="1"/>
  <c r="BW392" i="1"/>
  <c r="AW238" i="1"/>
  <c r="AW227" i="1"/>
  <c r="AW225" i="1"/>
  <c r="D438" i="1"/>
  <c r="CL267" i="1"/>
  <c r="AW231" i="1"/>
  <c r="AW358" i="1"/>
  <c r="AW359" i="1"/>
  <c r="GV419" i="1"/>
  <c r="K417" i="1"/>
  <c r="AW324" i="1"/>
  <c r="L417" i="1"/>
  <c r="FY436" i="1"/>
  <c r="BZ412" i="1"/>
  <c r="CO412" i="1" s="1"/>
  <c r="GD413" i="1"/>
  <c r="AW325" i="1"/>
  <c r="EN420" i="1"/>
  <c r="EN432" i="1" s="1"/>
  <c r="CT402" i="1"/>
  <c r="BW396" i="1"/>
  <c r="GB417" i="1"/>
  <c r="GX101" i="1"/>
  <c r="AW334" i="1"/>
  <c r="AW254" i="1"/>
  <c r="EO425" i="1"/>
  <c r="EO437" i="1" s="1"/>
  <c r="EQ437" i="1" s="1"/>
  <c r="CF326" i="1"/>
  <c r="DB348" i="1"/>
  <c r="GW419" i="1"/>
  <c r="FW436" i="1"/>
  <c r="FX413" i="1"/>
  <c r="AW348" i="1"/>
  <c r="CE400" i="1"/>
  <c r="GY421" i="1"/>
  <c r="GW417" i="1"/>
  <c r="GI417" i="1"/>
  <c r="GK417" i="1" s="1"/>
  <c r="GB412" i="1"/>
  <c r="FW7" i="1"/>
  <c r="DB364" i="1"/>
  <c r="CE266" i="1"/>
  <c r="GY220" i="1"/>
  <c r="AW364" i="1"/>
  <c r="FN418" i="1"/>
  <c r="CU321" i="1"/>
  <c r="CU402" i="1"/>
  <c r="CU398" i="1"/>
  <c r="GY415" i="1"/>
  <c r="CK266" i="1"/>
  <c r="CS398" i="1"/>
  <c r="BO399" i="1"/>
  <c r="CL399" i="1" s="1"/>
  <c r="CS321" i="1"/>
  <c r="CA398" i="1"/>
  <c r="CN403" i="1"/>
  <c r="CS238" i="1"/>
  <c r="DB334" i="1"/>
  <c r="CD417" i="1"/>
  <c r="CP417" i="1" s="1"/>
  <c r="CT240" i="1"/>
  <c r="GY247" i="1"/>
  <c r="K419" i="1"/>
  <c r="K431" i="1" s="1"/>
  <c r="AW239" i="1"/>
  <c r="AW226" i="1"/>
  <c r="CS155" i="1"/>
  <c r="BW282" i="1"/>
  <c r="CS282" i="1" s="1"/>
  <c r="AW228" i="1"/>
  <c r="CS240" i="1"/>
  <c r="AW240" i="1"/>
  <c r="AW223" i="1"/>
  <c r="GX299" i="1"/>
  <c r="AW266" i="1"/>
  <c r="BW227" i="1"/>
  <c r="CS227" i="1" s="1"/>
  <c r="FJ209" i="1"/>
  <c r="AW157" i="1"/>
  <c r="G225" i="1"/>
  <c r="DK225" i="1" s="1"/>
  <c r="GA65" i="1"/>
  <c r="FV412" i="1"/>
  <c r="L419" i="1"/>
  <c r="L431" i="1" s="1"/>
  <c r="CS196" i="1"/>
  <c r="CT196" i="1"/>
  <c r="EN424" i="1"/>
  <c r="EN436" i="1" s="1"/>
  <c r="DZ303" i="1"/>
  <c r="BY417" i="1"/>
  <c r="GX184" i="1"/>
  <c r="CA266" i="1"/>
  <c r="CT266" i="1" s="1"/>
  <c r="BW157" i="1"/>
  <c r="AW253" i="1"/>
  <c r="CA229" i="1"/>
  <c r="AW161" i="1"/>
  <c r="CR27" i="1"/>
  <c r="CB27" i="1"/>
  <c r="AW287" i="1"/>
  <c r="BW265" i="1"/>
  <c r="GY86" i="1"/>
  <c r="GN412" i="1"/>
  <c r="GN418" i="1" s="1"/>
  <c r="BS266" i="1"/>
  <c r="CN266" i="1" s="1"/>
  <c r="CA230" i="1"/>
  <c r="BW226" i="1"/>
  <c r="CS226" i="1" s="1"/>
  <c r="CA223" i="1"/>
  <c r="DB209" i="1"/>
  <c r="BZ417" i="1"/>
  <c r="CO417" i="1" s="1"/>
  <c r="CS289" i="1"/>
  <c r="CS284" i="1"/>
  <c r="CT289" i="1"/>
  <c r="CA225" i="1"/>
  <c r="CT225" i="1" s="1"/>
  <c r="BW223" i="1"/>
  <c r="CS223" i="1" s="1"/>
  <c r="BO266" i="1"/>
  <c r="CL266" i="1" s="1"/>
  <c r="CU155" i="1"/>
  <c r="DB76" i="1"/>
  <c r="AW209" i="1"/>
  <c r="AW76" i="1"/>
  <c r="AW138" i="1"/>
  <c r="CT284" i="1"/>
  <c r="BW266" i="1"/>
  <c r="CS266" i="1" s="1"/>
  <c r="AW184" i="1"/>
  <c r="GF422" i="1"/>
  <c r="CA238" i="1"/>
  <c r="AW196" i="1"/>
  <c r="AW198" i="1"/>
  <c r="AW194" i="1"/>
  <c r="DB184" i="1"/>
  <c r="EA156" i="1"/>
  <c r="AW71" i="1"/>
  <c r="EA416" i="1"/>
  <c r="H283" i="1"/>
  <c r="DL283" i="1" s="1"/>
  <c r="H282" i="1"/>
  <c r="DL282" i="1" s="1"/>
  <c r="AW156" i="1"/>
  <c r="FL76" i="1"/>
  <c r="AW126" i="1"/>
  <c r="AW70" i="1"/>
  <c r="ED65" i="1"/>
  <c r="M424" i="1"/>
  <c r="N437" i="1"/>
  <c r="CQ437" i="1" s="1"/>
  <c r="CA156" i="1"/>
  <c r="CT156" i="1" s="1"/>
  <c r="FY420" i="1"/>
  <c r="GX40" i="1"/>
  <c r="H222" i="1"/>
  <c r="DL222" i="1" s="1"/>
  <c r="I419" i="1"/>
  <c r="I431" i="1" s="1"/>
  <c r="J419" i="1"/>
  <c r="J431" i="1" s="1"/>
  <c r="DY186" i="1"/>
  <c r="EA249" i="1"/>
  <c r="F230" i="1"/>
  <c r="DJ230" i="1" s="1"/>
  <c r="EY249" i="1"/>
  <c r="DZ199" i="1"/>
  <c r="EA199" i="1"/>
  <c r="J438" i="1"/>
  <c r="DY341" i="1"/>
  <c r="DY163" i="1"/>
  <c r="GD425" i="1"/>
  <c r="DB247" i="1"/>
  <c r="GY76" i="1"/>
  <c r="GZ76" i="1" s="1"/>
  <c r="DB438" i="1"/>
  <c r="CE399" i="1"/>
  <c r="BW155" i="1"/>
  <c r="GX138" i="1"/>
  <c r="FJ257" i="1"/>
  <c r="GF412" i="1"/>
  <c r="GH412" i="1" s="1"/>
  <c r="FY415" i="1"/>
  <c r="FL220" i="1"/>
  <c r="AW299" i="1"/>
  <c r="CN326" i="1"/>
  <c r="DY343" i="1"/>
  <c r="DB417" i="1"/>
  <c r="BW286" i="1"/>
  <c r="AW285" i="1"/>
  <c r="AW322" i="1"/>
  <c r="AW321" i="1"/>
  <c r="BY288" i="1"/>
  <c r="CG267" i="1"/>
  <c r="BY247" i="1"/>
  <c r="AW224" i="1"/>
  <c r="EY199" i="1"/>
  <c r="AW162" i="1"/>
  <c r="AW155" i="1"/>
  <c r="GA424" i="1"/>
  <c r="GA423" i="1" s="1"/>
  <c r="AW163" i="1"/>
  <c r="F206" i="1"/>
  <c r="DJ206" i="1" s="1"/>
  <c r="DB65" i="1"/>
  <c r="AW220" i="1"/>
  <c r="AW257" i="1"/>
  <c r="AW272" i="1"/>
  <c r="GN419" i="1"/>
  <c r="DB313" i="1"/>
  <c r="DZ403" i="1"/>
  <c r="EX343" i="1"/>
  <c r="AW326" i="1"/>
  <c r="FW424" i="1"/>
  <c r="BW238" i="1"/>
  <c r="BW230" i="1"/>
  <c r="CS230" i="1" s="1"/>
  <c r="AW230" i="1"/>
  <c r="GJ424" i="1"/>
  <c r="GL424" i="1" s="1"/>
  <c r="GO424" i="1" s="1"/>
  <c r="DZ249" i="1"/>
  <c r="AW241" i="1"/>
  <c r="EY186" i="1"/>
  <c r="GF420" i="1"/>
  <c r="GH420" i="1" s="1"/>
  <c r="GO430" i="1" s="1"/>
  <c r="EA140" i="1"/>
  <c r="DB138" i="1"/>
  <c r="FV424" i="1"/>
  <c r="BX52" i="1"/>
  <c r="CQ52" i="1" s="1"/>
  <c r="FL7" i="1"/>
  <c r="DB220" i="1"/>
  <c r="DB299" i="1"/>
  <c r="DB415" i="1"/>
  <c r="DB257" i="1"/>
  <c r="CN241" i="1"/>
  <c r="AW199" i="1"/>
  <c r="AW195" i="1"/>
  <c r="AW206" i="1"/>
  <c r="AW197" i="1"/>
  <c r="AW205" i="1"/>
  <c r="CA205" i="1"/>
  <c r="EA186" i="1"/>
  <c r="CR425" i="1"/>
  <c r="FZ423" i="1"/>
  <c r="GJ417" i="1"/>
  <c r="GL417" i="1" s="1"/>
  <c r="DZ186" i="1"/>
  <c r="EX156" i="1"/>
  <c r="CN110" i="1"/>
  <c r="BY27" i="1"/>
  <c r="H287" i="1"/>
  <c r="DL287" i="1" s="1"/>
  <c r="AW101" i="1"/>
  <c r="AY416" i="1"/>
  <c r="FB416" i="1" s="1"/>
  <c r="DY342" i="1"/>
  <c r="DZ341" i="1"/>
  <c r="H322" i="1"/>
  <c r="DL322" i="1" s="1"/>
  <c r="CA224" i="1"/>
  <c r="CT224" i="1" s="1"/>
  <c r="H223" i="1"/>
  <c r="DL223" i="1" s="1"/>
  <c r="BO206" i="1"/>
  <c r="CL206" i="1" s="1"/>
  <c r="CS161" i="1"/>
  <c r="EA54" i="1"/>
  <c r="CA111" i="1"/>
  <c r="FY65" i="1"/>
  <c r="AW65" i="1"/>
  <c r="H26" i="1"/>
  <c r="DL26" i="1" s="1"/>
  <c r="H288" i="1"/>
  <c r="DL288" i="1" s="1"/>
  <c r="GJ412" i="1"/>
  <c r="GL412" i="1" s="1"/>
  <c r="GP424" i="1"/>
  <c r="CU161" i="1"/>
  <c r="BW196" i="1"/>
  <c r="CA157" i="1"/>
  <c r="DZ259" i="1"/>
  <c r="EY156" i="1"/>
  <c r="H53" i="1"/>
  <c r="DL53" i="1" s="1"/>
  <c r="AW117" i="1"/>
  <c r="AW86" i="1"/>
  <c r="M27" i="1"/>
  <c r="CU27" i="1" s="1"/>
  <c r="CE9" i="1"/>
  <c r="GP425" i="1"/>
  <c r="GJ438" i="1"/>
  <c r="GL438" i="1" s="1"/>
  <c r="FY422" i="1"/>
  <c r="FV422" i="1"/>
  <c r="FX422" i="1" s="1"/>
  <c r="GA438" i="1"/>
  <c r="CC419" i="1"/>
  <c r="AW289" i="1"/>
  <c r="AW284" i="1"/>
  <c r="AW290" i="1"/>
  <c r="AW286" i="1"/>
  <c r="AW283" i="1"/>
  <c r="AW281" i="1"/>
  <c r="CA265" i="1"/>
  <c r="CA231" i="1"/>
  <c r="CA227" i="1"/>
  <c r="BW162" i="1"/>
  <c r="BW161" i="1"/>
  <c r="CA155" i="1"/>
  <c r="CZ437" i="1"/>
  <c r="DB437" i="1" s="1"/>
  <c r="CN195" i="1"/>
  <c r="CS157" i="1"/>
  <c r="BW111" i="1"/>
  <c r="GV423" i="1"/>
  <c r="GY65" i="1"/>
  <c r="GM412" i="1"/>
  <c r="GM418" i="1" s="1"/>
  <c r="AW111" i="1"/>
  <c r="AW109" i="1"/>
  <c r="DB272" i="1"/>
  <c r="AW247" i="1"/>
  <c r="DB117" i="1"/>
  <c r="DB101" i="1"/>
  <c r="DB126" i="1"/>
  <c r="ED425" i="1"/>
  <c r="CA226" i="1"/>
  <c r="CT226" i="1" s="1"/>
  <c r="BW225" i="1"/>
  <c r="CS225" i="1" s="1"/>
  <c r="BW224" i="1"/>
  <c r="CS224" i="1" s="1"/>
  <c r="BW205" i="1"/>
  <c r="CU157" i="1"/>
  <c r="FL138" i="1"/>
  <c r="GI438" i="1"/>
  <c r="GK438" i="1" s="1"/>
  <c r="AW26" i="1"/>
  <c r="GV420" i="1"/>
  <c r="GI412" i="1"/>
  <c r="AW112" i="1"/>
  <c r="BK50" i="1"/>
  <c r="CK50" i="1" s="1"/>
  <c r="GE417" i="1"/>
  <c r="GG417" i="1" s="1"/>
  <c r="CA399" i="1"/>
  <c r="CT399" i="1" s="1"/>
  <c r="GX364" i="1"/>
  <c r="CA400" i="1"/>
  <c r="CT400" i="1" s="1"/>
  <c r="AW313" i="1"/>
  <c r="CN163" i="1"/>
  <c r="CC438" i="1"/>
  <c r="BW322" i="1"/>
  <c r="CS322" i="1" s="1"/>
  <c r="DH417" i="1"/>
  <c r="FV438" i="1"/>
  <c r="CN395" i="1"/>
  <c r="BS400" i="1"/>
  <c r="CM400" i="1" s="1"/>
  <c r="BS399" i="1"/>
  <c r="CM399" i="1" s="1"/>
  <c r="AY415" i="1"/>
  <c r="BY438" i="1"/>
  <c r="CA286" i="1"/>
  <c r="CA282" i="1"/>
  <c r="BW402" i="1"/>
  <c r="CB438" i="1"/>
  <c r="CR438" i="1" s="1"/>
  <c r="EA415" i="1"/>
  <c r="CA322" i="1"/>
  <c r="CT322" i="1" s="1"/>
  <c r="ES419" i="1"/>
  <c r="ET419" i="1" s="1"/>
  <c r="CA267" i="1"/>
  <c r="CT267" i="1" s="1"/>
  <c r="CC417" i="1"/>
  <c r="AW288" i="1"/>
  <c r="EU419" i="1"/>
  <c r="EV419" i="1" s="1"/>
  <c r="EA259" i="1"/>
  <c r="AW265" i="1"/>
  <c r="BW240" i="1"/>
  <c r="BW231" i="1"/>
  <c r="CA196" i="1"/>
  <c r="CA162" i="1"/>
  <c r="CA161" i="1"/>
  <c r="BW156" i="1"/>
  <c r="CS156" i="1" s="1"/>
  <c r="GF425" i="1"/>
  <c r="GH425" i="1" s="1"/>
  <c r="GO425" i="1" s="1"/>
  <c r="EY259" i="1"/>
  <c r="GY184" i="1"/>
  <c r="GW423" i="1"/>
  <c r="GV417" i="1"/>
  <c r="BS50" i="1"/>
  <c r="CM50" i="1" s="1"/>
  <c r="CC27" i="1"/>
  <c r="AW25" i="1"/>
  <c r="GX425" i="1"/>
  <c r="GE412" i="1"/>
  <c r="GG412" i="1" s="1"/>
  <c r="H224" i="1"/>
  <c r="DL224" i="1" s="1"/>
  <c r="H325" i="1"/>
  <c r="DL325" i="1" s="1"/>
  <c r="AW110" i="1"/>
  <c r="BX27" i="1"/>
  <c r="GA417" i="1"/>
  <c r="FJ247" i="1"/>
  <c r="FL247" i="1" s="1"/>
  <c r="AW267" i="1"/>
  <c r="CL397" i="1"/>
  <c r="DB420" i="1"/>
  <c r="GC424" i="1"/>
  <c r="CN156" i="1"/>
  <c r="EX315" i="1"/>
  <c r="GY425" i="1"/>
  <c r="FS27" i="1"/>
  <c r="FW27" i="1" s="1"/>
  <c r="FX27" i="1" s="1"/>
  <c r="DH419" i="1"/>
  <c r="DH431" i="1" s="1"/>
  <c r="DB424" i="1"/>
  <c r="M419" i="1"/>
  <c r="M420" i="1"/>
  <c r="CD419" i="1"/>
  <c r="CP419" i="1" s="1"/>
  <c r="EX415" i="1"/>
  <c r="CD423" i="1"/>
  <c r="CD435" i="1" s="1"/>
  <c r="CP435" i="1" s="1"/>
  <c r="AW40" i="1"/>
  <c r="AW50" i="1"/>
  <c r="CY432" i="1"/>
  <c r="DB432" i="1" s="1"/>
  <c r="EX140" i="1"/>
  <c r="GB27" i="1"/>
  <c r="GD27" i="1" s="1"/>
  <c r="AW30" i="1"/>
  <c r="GC412" i="1"/>
  <c r="BY52" i="1"/>
  <c r="DH423" i="1"/>
  <c r="DH435" i="1" s="1"/>
  <c r="GK446" i="1"/>
  <c r="DB416" i="1"/>
  <c r="M415" i="1"/>
  <c r="G288" i="1"/>
  <c r="DK288" i="1" s="1"/>
  <c r="F225" i="1"/>
  <c r="DJ225" i="1" s="1"/>
  <c r="G230" i="1"/>
  <c r="DK230" i="1" s="1"/>
  <c r="DZ211" i="1"/>
  <c r="DW441" i="1"/>
  <c r="CS29" i="1"/>
  <c r="DY23" i="1"/>
  <c r="F241" i="1"/>
  <c r="DJ241" i="1" s="1"/>
  <c r="H323" i="1"/>
  <c r="DL323" i="1" s="1"/>
  <c r="F231" i="1"/>
  <c r="DJ231" i="1" s="1"/>
  <c r="F55" i="1"/>
  <c r="DJ55" i="1" s="1"/>
  <c r="CU29" i="1"/>
  <c r="G359" i="1"/>
  <c r="DK359" i="1" s="1"/>
  <c r="F323" i="1"/>
  <c r="DJ323" i="1" s="1"/>
  <c r="G231" i="1"/>
  <c r="DK231" i="1" s="1"/>
  <c r="G254" i="1"/>
  <c r="DK254" i="1" s="1"/>
  <c r="G26" i="1"/>
  <c r="DK26" i="1" s="1"/>
  <c r="G28" i="1"/>
  <c r="G50" i="1"/>
  <c r="DK50" i="1" s="1"/>
  <c r="G222" i="1"/>
  <c r="DK222" i="1" s="1"/>
  <c r="G419" i="1"/>
  <c r="G224" i="1"/>
  <c r="DK224" i="1" s="1"/>
  <c r="GY423" i="1"/>
  <c r="G322" i="1"/>
  <c r="DK322" i="1" s="1"/>
  <c r="G325" i="1"/>
  <c r="DK325" i="1" s="1"/>
  <c r="G267" i="1"/>
  <c r="DK267" i="1" s="1"/>
  <c r="FY426" i="1"/>
  <c r="FL412" i="1"/>
  <c r="CB288" i="1"/>
  <c r="CR288" i="1" s="1"/>
  <c r="G285" i="1"/>
  <c r="DK285" i="1" s="1"/>
  <c r="G223" i="1"/>
  <c r="DK223" i="1" s="1"/>
  <c r="BX288" i="1"/>
  <c r="CQ288" i="1" s="1"/>
  <c r="G287" i="1"/>
  <c r="DK287" i="1" s="1"/>
  <c r="G283" i="1"/>
  <c r="DK283" i="1" s="1"/>
  <c r="G282" i="1"/>
  <c r="DK282" i="1" s="1"/>
  <c r="GP423" i="1"/>
  <c r="E415" i="1"/>
  <c r="BT415" i="1"/>
  <c r="BX53" i="1"/>
  <c r="CQ53" i="1" s="1"/>
  <c r="CB53" i="1"/>
  <c r="CR53" i="1" s="1"/>
  <c r="BY53" i="1"/>
  <c r="H400" i="1"/>
  <c r="DL400" i="1" s="1"/>
  <c r="EX28" i="1"/>
  <c r="DZ28" i="1"/>
  <c r="EY28" i="1"/>
  <c r="EX110" i="1"/>
  <c r="DZ110" i="1"/>
  <c r="EA110" i="1"/>
  <c r="CC30" i="1"/>
  <c r="CB30" i="1"/>
  <c r="CR30" i="1" s="1"/>
  <c r="BX30" i="1"/>
  <c r="GW420" i="1"/>
  <c r="F163" i="1"/>
  <c r="DJ163" i="1" s="1"/>
  <c r="F326" i="1"/>
  <c r="DJ326" i="1" s="1"/>
  <c r="F399" i="1"/>
  <c r="DJ399" i="1" s="1"/>
  <c r="GL446" i="1"/>
  <c r="DY132" i="1"/>
  <c r="F54" i="1"/>
  <c r="DJ54" i="1" s="1"/>
  <c r="DY22" i="1"/>
  <c r="F110" i="1"/>
  <c r="DJ110" i="1" s="1"/>
  <c r="F400" i="1"/>
  <c r="DJ400" i="1" s="1"/>
  <c r="DY419" i="1"/>
  <c r="DE454" i="1"/>
  <c r="M288" i="1"/>
  <c r="EN40" i="1"/>
  <c r="DH424" i="1"/>
  <c r="DH436" i="1" s="1"/>
  <c r="DH415" i="1"/>
  <c r="DH420" i="1"/>
  <c r="DH432" i="1" s="1"/>
  <c r="BQ417" i="1"/>
  <c r="BZ419" i="1"/>
  <c r="CO419" i="1" s="1"/>
  <c r="BM417" i="1"/>
  <c r="CC184" i="1"/>
  <c r="G55" i="1"/>
  <c r="DK55" i="1" s="1"/>
  <c r="DY67" i="1"/>
  <c r="EY54" i="1"/>
  <c r="G52" i="1"/>
  <c r="DK52" i="1" s="1"/>
  <c r="AW27" i="1"/>
  <c r="AW29" i="1"/>
  <c r="DB423" i="1"/>
  <c r="AW55" i="1"/>
  <c r="AW52" i="1"/>
  <c r="DA423" i="1"/>
  <c r="CD416" i="1"/>
  <c r="CP416" i="1" s="1"/>
  <c r="AW15" i="1"/>
  <c r="DB40" i="1"/>
  <c r="GE438" i="1"/>
  <c r="GG438" i="1" s="1"/>
  <c r="BY419" i="1"/>
  <c r="DH438" i="1"/>
  <c r="DY354" i="1"/>
  <c r="DZ326" i="1"/>
  <c r="EY163" i="1"/>
  <c r="CC52" i="1"/>
  <c r="EY140" i="1"/>
  <c r="DY93" i="1"/>
  <c r="ED86" i="1"/>
  <c r="DZ54" i="1"/>
  <c r="G53" i="1"/>
  <c r="DK53" i="1" s="1"/>
  <c r="BO50" i="1"/>
  <c r="CL50" i="1" s="1"/>
  <c r="G30" i="1"/>
  <c r="DK30" i="1" s="1"/>
  <c r="BW29" i="1"/>
  <c r="BY423" i="1"/>
  <c r="BY435" i="1" s="1"/>
  <c r="DH425" i="1"/>
  <c r="DH437" i="1" s="1"/>
  <c r="AW28" i="1"/>
  <c r="G266" i="1"/>
  <c r="DK266" i="1" s="1"/>
  <c r="GL445" i="1"/>
  <c r="EY319" i="1"/>
  <c r="EX119" i="1"/>
  <c r="DZ103" i="1"/>
  <c r="DZ69" i="1"/>
  <c r="EA303" i="1"/>
  <c r="EA141" i="1"/>
  <c r="DY121" i="1"/>
  <c r="DY141" i="1"/>
  <c r="DZ357" i="1"/>
  <c r="EX357" i="1"/>
  <c r="DY355" i="1"/>
  <c r="DZ342" i="1"/>
  <c r="EX303" i="1"/>
  <c r="EX214" i="1"/>
  <c r="EA121" i="1"/>
  <c r="EA55" i="1"/>
  <c r="EY112" i="1"/>
  <c r="EY55" i="1"/>
  <c r="EC334" i="1"/>
  <c r="DZ214" i="1"/>
  <c r="EA107" i="1"/>
  <c r="EA357" i="1"/>
  <c r="DY236" i="1"/>
  <c r="EY121" i="1"/>
  <c r="H359" i="1"/>
  <c r="DL359" i="1" s="1"/>
  <c r="H285" i="1"/>
  <c r="DL285" i="1" s="1"/>
  <c r="F282" i="1"/>
  <c r="H50" i="1"/>
  <c r="DL50" i="1" s="1"/>
  <c r="H254" i="1"/>
  <c r="DL254" i="1" s="1"/>
  <c r="F224" i="1"/>
  <c r="DJ224" i="1" s="1"/>
  <c r="M423" i="1"/>
  <c r="M435" i="1" s="1"/>
  <c r="H419" i="1"/>
  <c r="H52" i="1"/>
  <c r="DL52" i="1" s="1"/>
  <c r="H266" i="1"/>
  <c r="DL266" i="1" s="1"/>
  <c r="H267" i="1"/>
  <c r="DL267" i="1" s="1"/>
  <c r="H30" i="1"/>
  <c r="H28" i="1"/>
  <c r="DL28" i="1" s="1"/>
  <c r="AW400" i="1"/>
  <c r="GP421" i="1"/>
  <c r="GO423" i="1"/>
  <c r="DV441" i="1"/>
  <c r="GP422" i="1"/>
  <c r="AW396" i="1"/>
  <c r="AW395" i="1"/>
  <c r="AW402" i="1"/>
  <c r="AW397" i="1"/>
  <c r="DB375" i="1"/>
  <c r="AW403" i="1"/>
  <c r="AW392" i="1"/>
  <c r="AW399" i="1"/>
  <c r="AW398" i="1"/>
  <c r="GX417" i="1"/>
  <c r="GE419" i="1"/>
  <c r="GG419" i="1" s="1"/>
  <c r="DW431" i="1"/>
  <c r="DY431" i="1" s="1"/>
  <c r="FY419" i="1"/>
  <c r="GC419" i="1" s="1"/>
  <c r="GF419" i="1"/>
  <c r="GH419" i="1" s="1"/>
  <c r="GO419" i="1" s="1"/>
  <c r="EC425" i="1"/>
  <c r="BY209" i="1"/>
  <c r="GD420" i="1"/>
  <c r="DB86" i="1"/>
  <c r="FY76" i="1"/>
  <c r="FV40" i="1"/>
  <c r="AW54" i="1"/>
  <c r="AW49" i="1"/>
  <c r="AW53" i="1"/>
  <c r="DV417" i="1"/>
  <c r="AW51" i="1"/>
  <c r="CY443" i="1"/>
  <c r="G323" i="1"/>
  <c r="DK323" i="1" s="1"/>
  <c r="G54" i="1"/>
  <c r="DK54" i="1" s="1"/>
  <c r="M425" i="1"/>
  <c r="M437" i="1" s="1"/>
  <c r="GP430" i="1"/>
  <c r="AW9" i="1"/>
  <c r="GP426" i="1"/>
  <c r="DB7" i="1"/>
  <c r="CZ443" i="1"/>
  <c r="GK445" i="1"/>
  <c r="AW7" i="1"/>
  <c r="F283" i="1"/>
  <c r="DJ283" i="1" s="1"/>
  <c r="CC420" i="1"/>
  <c r="DB412" i="1"/>
  <c r="AW10" i="1"/>
  <c r="GP420" i="1"/>
  <c r="D420" i="1"/>
  <c r="CH9" i="1"/>
  <c r="BV412" i="1"/>
  <c r="CG412" i="1" s="1"/>
  <c r="F223" i="1"/>
  <c r="DJ223" i="1" s="1"/>
  <c r="AW8" i="1"/>
  <c r="D424" i="1"/>
  <c r="D436" i="1" s="1"/>
  <c r="FV417" i="1"/>
  <c r="DB15" i="1"/>
  <c r="EC417" i="1"/>
  <c r="GF417" i="1"/>
  <c r="GH417" i="1" s="1"/>
  <c r="DE448" i="1"/>
  <c r="DZ343" i="1"/>
  <c r="EY341" i="1"/>
  <c r="EA319" i="1"/>
  <c r="DZ319" i="1"/>
  <c r="ED417" i="1"/>
  <c r="EY141" i="1"/>
  <c r="DZ107" i="1"/>
  <c r="EA103" i="1"/>
  <c r="DY130" i="1"/>
  <c r="DY107" i="1"/>
  <c r="EY69" i="1"/>
  <c r="EA403" i="1"/>
  <c r="EX403" i="1"/>
  <c r="EA341" i="1"/>
  <c r="EA343" i="1"/>
  <c r="DY214" i="1"/>
  <c r="EA163" i="1"/>
  <c r="ED247" i="1"/>
  <c r="EC247" i="1"/>
  <c r="ED209" i="1"/>
  <c r="EA214" i="1"/>
  <c r="DZ163" i="1"/>
  <c r="EX141" i="1"/>
  <c r="EA112" i="1"/>
  <c r="EA69" i="1"/>
  <c r="DZ121" i="1"/>
  <c r="DZ112" i="1"/>
  <c r="EY110" i="1"/>
  <c r="EX107" i="1"/>
  <c r="EY103" i="1"/>
  <c r="DZ55" i="1"/>
  <c r="BU419" i="1"/>
  <c r="BU431" i="1" s="1"/>
  <c r="BM419" i="1"/>
  <c r="BM431" i="1" s="1"/>
  <c r="F266" i="1"/>
  <c r="DJ266" i="1" s="1"/>
  <c r="F28" i="1"/>
  <c r="F287" i="1"/>
  <c r="F222" i="1"/>
  <c r="F52" i="1"/>
  <c r="DJ52" i="1" s="1"/>
  <c r="F26" i="1"/>
  <c r="DJ26" i="1" s="1"/>
  <c r="F30" i="1"/>
  <c r="F267" i="1"/>
  <c r="DJ267" i="1" s="1"/>
  <c r="F254" i="1"/>
  <c r="F50" i="1"/>
  <c r="EX274" i="1"/>
  <c r="DZ274" i="1"/>
  <c r="EX252" i="1"/>
  <c r="EY252" i="1"/>
  <c r="EA252" i="1"/>
  <c r="EX233" i="1"/>
  <c r="EY233" i="1"/>
  <c r="EX130" i="1"/>
  <c r="DZ130" i="1"/>
  <c r="EA130" i="1"/>
  <c r="EX215" i="1"/>
  <c r="DZ215" i="1"/>
  <c r="AY417" i="1"/>
  <c r="AY446" i="1"/>
  <c r="DZ415" i="1"/>
  <c r="DU412" i="1"/>
  <c r="DU467" i="1" s="1"/>
  <c r="EC412" i="1"/>
  <c r="DY319" i="1"/>
  <c r="BO288" i="1"/>
  <c r="CL288" i="1" s="1"/>
  <c r="EA274" i="1"/>
  <c r="EY326" i="1"/>
  <c r="EY274" i="1"/>
  <c r="EA215" i="1"/>
  <c r="DZ233" i="1"/>
  <c r="H231" i="1"/>
  <c r="DL231" i="1" s="1"/>
  <c r="CA29" i="1"/>
  <c r="BP419" i="1"/>
  <c r="H110" i="1"/>
  <c r="DL110" i="1" s="1"/>
  <c r="F53" i="1"/>
  <c r="DJ53" i="1" s="1"/>
  <c r="F288" i="1"/>
  <c r="DJ288" i="1" s="1"/>
  <c r="CC50" i="1"/>
  <c r="CB50" i="1"/>
  <c r="CR50" i="1" s="1"/>
  <c r="CM27" i="1"/>
  <c r="CN27" i="1"/>
  <c r="CV27" i="1" s="1"/>
  <c r="CK27" i="1"/>
  <c r="H399" i="1"/>
  <c r="H326" i="1"/>
  <c r="DL326" i="1" s="1"/>
  <c r="H163" i="1"/>
  <c r="DL163" i="1" s="1"/>
  <c r="H241" i="1"/>
  <c r="DL241" i="1" s="1"/>
  <c r="H206" i="1"/>
  <c r="DL206" i="1" s="1"/>
  <c r="H55" i="1"/>
  <c r="H54" i="1"/>
  <c r="H225" i="1"/>
  <c r="H230" i="1"/>
  <c r="CF9" i="1"/>
  <c r="BR412" i="1"/>
  <c r="CF412" i="1" s="1"/>
  <c r="EY251" i="1"/>
  <c r="EA251" i="1"/>
  <c r="DZ251" i="1"/>
  <c r="EX211" i="1"/>
  <c r="EA211" i="1"/>
  <c r="EX132" i="1"/>
  <c r="DZ132" i="1"/>
  <c r="EY132" i="1"/>
  <c r="EY119" i="1"/>
  <c r="EA119" i="1"/>
  <c r="EX80" i="1"/>
  <c r="DZ80" i="1"/>
  <c r="EA80" i="1"/>
  <c r="EY128" i="1"/>
  <c r="EA128" i="1"/>
  <c r="EX128" i="1"/>
  <c r="EX93" i="1"/>
  <c r="DZ93" i="1"/>
  <c r="EY67" i="1"/>
  <c r="EX67" i="1"/>
  <c r="DZ67" i="1"/>
  <c r="EY415" i="1"/>
  <c r="E419" i="1"/>
  <c r="E431" i="1" s="1"/>
  <c r="F359" i="1"/>
  <c r="BN419" i="1"/>
  <c r="CE419" i="1" s="1"/>
  <c r="EA342" i="1"/>
  <c r="EY342" i="1"/>
  <c r="EA326" i="1"/>
  <c r="DZ315" i="1"/>
  <c r="BS288" i="1"/>
  <c r="CM288" i="1" s="1"/>
  <c r="BK288" i="1"/>
  <c r="F285" i="1"/>
  <c r="DJ285" i="1" s="1"/>
  <c r="F322" i="1"/>
  <c r="DJ322" i="1" s="1"/>
  <c r="EA315" i="1"/>
  <c r="DY252" i="1"/>
  <c r="EY215" i="1"/>
  <c r="BX50" i="1"/>
  <c r="CQ50" i="1" s="1"/>
  <c r="DY128" i="1"/>
  <c r="EY93" i="1"/>
  <c r="EA67" i="1"/>
  <c r="EC40" i="1"/>
  <c r="BT419" i="1"/>
  <c r="BT412" i="1"/>
  <c r="BT430" i="1" s="1"/>
  <c r="CJ430" i="1" s="1"/>
  <c r="BQ419" i="1"/>
  <c r="BQ431" i="1" s="1"/>
  <c r="DY119" i="1"/>
  <c r="DY80" i="1"/>
  <c r="DY55" i="1"/>
  <c r="CA240" i="1"/>
  <c r="DY237" i="1"/>
  <c r="DY215" i="1"/>
  <c r="EC209" i="1"/>
  <c r="DY71" i="1"/>
  <c r="ED76" i="1"/>
  <c r="ED126" i="1"/>
  <c r="ED101" i="1"/>
  <c r="DV420" i="1"/>
  <c r="DV432" i="1" s="1"/>
  <c r="DV425" i="1"/>
  <c r="DV437" i="1" s="1"/>
  <c r="ED40" i="1"/>
  <c r="EC424" i="1"/>
  <c r="ED15" i="1"/>
  <c r="DY399" i="1"/>
  <c r="DY325" i="1"/>
  <c r="BS322" i="1"/>
  <c r="CM322" i="1" s="1"/>
  <c r="BO322" i="1"/>
  <c r="CL322" i="1" s="1"/>
  <c r="BK322" i="1"/>
  <c r="CK322" i="1" s="1"/>
  <c r="DY303" i="1"/>
  <c r="J417" i="1"/>
  <c r="ED184" i="1"/>
  <c r="AY424" i="1"/>
  <c r="AY423" i="1"/>
  <c r="FF423" i="1" s="1"/>
  <c r="EY416" i="1"/>
  <c r="DZ416" i="1"/>
  <c r="DW425" i="1"/>
  <c r="CK397" i="1"/>
  <c r="BS323" i="1"/>
  <c r="CM323" i="1" s="1"/>
  <c r="BO323" i="1"/>
  <c r="CL323" i="1" s="1"/>
  <c r="BK323" i="1"/>
  <c r="CK323" i="1" s="1"/>
  <c r="EC313" i="1"/>
  <c r="I425" i="1"/>
  <c r="I437" i="1" s="1"/>
  <c r="L420" i="1"/>
  <c r="L432" i="1" s="1"/>
  <c r="R431" i="1"/>
  <c r="I416" i="1"/>
  <c r="BU424" i="1"/>
  <c r="BU436" i="1" s="1"/>
  <c r="BM424" i="1"/>
  <c r="BM436" i="1" s="1"/>
  <c r="L424" i="1"/>
  <c r="L436" i="1" s="1"/>
  <c r="DV438" i="1"/>
  <c r="BS239" i="1"/>
  <c r="CM239" i="1" s="1"/>
  <c r="BO239" i="1"/>
  <c r="CL239" i="1" s="1"/>
  <c r="BK239" i="1"/>
  <c r="CK239" i="1" s="1"/>
  <c r="BS226" i="1"/>
  <c r="CM226" i="1" s="1"/>
  <c r="BK226" i="1"/>
  <c r="CK226" i="1" s="1"/>
  <c r="BS224" i="1"/>
  <c r="CM224" i="1" s="1"/>
  <c r="BK224" i="1"/>
  <c r="CK224" i="1" s="1"/>
  <c r="BS222" i="1"/>
  <c r="CM222" i="1" s="1"/>
  <c r="BK222" i="1"/>
  <c r="CK222" i="1" s="1"/>
  <c r="BK231" i="1"/>
  <c r="CK231" i="1" s="1"/>
  <c r="BS231" i="1"/>
  <c r="CM231" i="1" s="1"/>
  <c r="E425" i="1"/>
  <c r="E437" i="1" s="1"/>
  <c r="J420" i="1"/>
  <c r="J432" i="1" s="1"/>
  <c r="BS52" i="1"/>
  <c r="CM52" i="1" s="1"/>
  <c r="BK52" i="1"/>
  <c r="CK52" i="1" s="1"/>
  <c r="R430" i="1"/>
  <c r="BQ424" i="1"/>
  <c r="BQ436" i="1" s="1"/>
  <c r="J424" i="1"/>
  <c r="J436" i="1" s="1"/>
  <c r="BS397" i="1"/>
  <c r="CM397" i="1" s="1"/>
  <c r="DV375" i="1"/>
  <c r="DE447" i="1"/>
  <c r="DE446" i="1"/>
  <c r="EC364" i="1"/>
  <c r="ED348" i="1"/>
  <c r="ED334" i="1"/>
  <c r="FJ334" i="1"/>
  <c r="FL334" i="1" s="1"/>
  <c r="ED313" i="1"/>
  <c r="EC299" i="1"/>
  <c r="ED272" i="1"/>
  <c r="FY257" i="1"/>
  <c r="FK257" i="1"/>
  <c r="DV247" i="1"/>
  <c r="ED220" i="1"/>
  <c r="EC220" i="1"/>
  <c r="DV220" i="1"/>
  <c r="DV138" i="1"/>
  <c r="EC126" i="1"/>
  <c r="EC117" i="1"/>
  <c r="EC101" i="1"/>
  <c r="EC86" i="1"/>
  <c r="DV76" i="1"/>
  <c r="EC76" i="1"/>
  <c r="EC65" i="1"/>
  <c r="DW40" i="1"/>
  <c r="EN15" i="1"/>
  <c r="FK15" i="1"/>
  <c r="GA7" i="1"/>
  <c r="EC7" i="1"/>
  <c r="FK419" i="1"/>
  <c r="FK272" i="1"/>
  <c r="FL283" i="1"/>
  <c r="EO432" i="1"/>
  <c r="CK206" i="1"/>
  <c r="GB423" i="1"/>
  <c r="CL400" i="1"/>
  <c r="DE445" i="1"/>
  <c r="DB431" i="1"/>
  <c r="EO436" i="1"/>
  <c r="EO435" i="1"/>
  <c r="EQ440" i="1"/>
  <c r="EO427" i="1"/>
  <c r="FY375" i="1"/>
  <c r="EO375" i="1"/>
  <c r="DW417" i="1"/>
  <c r="GB438" i="1"/>
  <c r="EO434" i="1"/>
  <c r="EQ434" i="1" s="1"/>
  <c r="EQ422" i="1"/>
  <c r="CT403" i="1"/>
  <c r="DE449" i="1"/>
  <c r="BP438" i="1"/>
  <c r="CI438" i="1" s="1"/>
  <c r="R438" i="1"/>
  <c r="CF400" i="1"/>
  <c r="EY400" i="1"/>
  <c r="DZ400" i="1"/>
  <c r="EA400" i="1"/>
  <c r="EX400" i="1"/>
  <c r="DY400" i="1"/>
  <c r="BW399" i="1"/>
  <c r="CE397" i="1"/>
  <c r="BZ397" i="1"/>
  <c r="CO397" i="1" s="1"/>
  <c r="CD397" i="1"/>
  <c r="CP397" i="1" s="1"/>
  <c r="BW403" i="1"/>
  <c r="CU403" i="1" s="1"/>
  <c r="FZ438" i="1"/>
  <c r="CT395" i="1"/>
  <c r="CU395" i="1"/>
  <c r="CS395" i="1"/>
  <c r="ET412" i="1"/>
  <c r="ED412" i="1"/>
  <c r="ED364" i="1"/>
  <c r="AZ418" i="1"/>
  <c r="AZ448" i="1" s="1"/>
  <c r="AY412" i="1"/>
  <c r="EN348" i="1"/>
  <c r="CA358" i="1"/>
  <c r="BW358" i="1"/>
  <c r="FV421" i="1"/>
  <c r="FX421" i="1" s="1"/>
  <c r="EO433" i="1"/>
  <c r="EQ433" i="1" s="1"/>
  <c r="EQ421" i="1"/>
  <c r="CA392" i="1"/>
  <c r="EN375" i="1"/>
  <c r="FV415" i="1"/>
  <c r="FX415" i="1" s="1"/>
  <c r="DY370" i="1"/>
  <c r="EX370" i="1"/>
  <c r="EA370" i="1"/>
  <c r="EY370" i="1"/>
  <c r="DZ370" i="1"/>
  <c r="EV412" i="1"/>
  <c r="DV412" i="1"/>
  <c r="DV364" i="1"/>
  <c r="EX366" i="1"/>
  <c r="EA366" i="1"/>
  <c r="EY366" i="1"/>
  <c r="DZ366" i="1"/>
  <c r="CB419" i="1"/>
  <c r="CR419" i="1" s="1"/>
  <c r="BX419" i="1"/>
  <c r="CQ419" i="1" s="1"/>
  <c r="EX359" i="1"/>
  <c r="EA359" i="1"/>
  <c r="EY359" i="1"/>
  <c r="DZ359" i="1"/>
  <c r="EY355" i="1"/>
  <c r="DZ355" i="1"/>
  <c r="EX355" i="1"/>
  <c r="EA355" i="1"/>
  <c r="EY354" i="1"/>
  <c r="DZ354" i="1"/>
  <c r="EX354" i="1"/>
  <c r="EA354" i="1"/>
  <c r="EY350" i="1"/>
  <c r="DZ350" i="1"/>
  <c r="EX350" i="1"/>
  <c r="EA350" i="1"/>
  <c r="EN334" i="1"/>
  <c r="BY334" i="1"/>
  <c r="DY336" i="1"/>
  <c r="DW334" i="1"/>
  <c r="DW348" i="1"/>
  <c r="DY350" i="1"/>
  <c r="EX336" i="1"/>
  <c r="EA336" i="1"/>
  <c r="EY336" i="1"/>
  <c r="DZ336" i="1"/>
  <c r="CE326" i="1"/>
  <c r="M326" i="1"/>
  <c r="CD326" i="1"/>
  <c r="CP326" i="1" s="1"/>
  <c r="BZ326" i="1"/>
  <c r="CO326" i="1" s="1"/>
  <c r="CD323" i="1"/>
  <c r="CP323" i="1" s="1"/>
  <c r="BZ323" i="1"/>
  <c r="CO323" i="1" s="1"/>
  <c r="CE323" i="1"/>
  <c r="DV313" i="1"/>
  <c r="EY301" i="1"/>
  <c r="DZ301" i="1"/>
  <c r="EX301" i="1"/>
  <c r="EA301" i="1"/>
  <c r="CD288" i="1"/>
  <c r="BZ288" i="1"/>
  <c r="CO288" i="1" s="1"/>
  <c r="CE288" i="1"/>
  <c r="CA287" i="1"/>
  <c r="BW287" i="1"/>
  <c r="CS287" i="1" s="1"/>
  <c r="BS287" i="1"/>
  <c r="CM287" i="1" s="1"/>
  <c r="CI287" i="1"/>
  <c r="BO287" i="1"/>
  <c r="CL287" i="1" s="1"/>
  <c r="BK287" i="1"/>
  <c r="CT286" i="1"/>
  <c r="CU286" i="1"/>
  <c r="CS286" i="1"/>
  <c r="BS282" i="1"/>
  <c r="CM282" i="1" s="1"/>
  <c r="BO282" i="1"/>
  <c r="CL282" i="1" s="1"/>
  <c r="BK282" i="1"/>
  <c r="DY274" i="1"/>
  <c r="DW272" i="1"/>
  <c r="CQ267" i="1"/>
  <c r="BW267" i="1"/>
  <c r="GY348" i="1"/>
  <c r="GX348" i="1"/>
  <c r="CA325" i="1"/>
  <c r="CT325" i="1" s="1"/>
  <c r="BW325" i="1"/>
  <c r="CS325" i="1" s="1"/>
  <c r="BS325" i="1"/>
  <c r="CM325" i="1" s="1"/>
  <c r="BO325" i="1"/>
  <c r="CL325" i="1" s="1"/>
  <c r="BK325" i="1"/>
  <c r="CU324" i="1"/>
  <c r="CS324" i="1"/>
  <c r="CT324" i="1"/>
  <c r="CI323" i="1"/>
  <c r="CB323" i="1"/>
  <c r="CR323" i="1" s="1"/>
  <c r="BX323" i="1"/>
  <c r="CQ323" i="1" s="1"/>
  <c r="M323" i="1"/>
  <c r="CC323" i="1"/>
  <c r="BY323" i="1"/>
  <c r="FJ299" i="1"/>
  <c r="FL299" i="1" s="1"/>
  <c r="DY301" i="1"/>
  <c r="DW299" i="1"/>
  <c r="BY299" i="1"/>
  <c r="FJ272" i="1"/>
  <c r="FY272" i="1"/>
  <c r="CA289" i="1"/>
  <c r="BW289" i="1"/>
  <c r="CA285" i="1"/>
  <c r="BW285" i="1"/>
  <c r="CS285" i="1" s="1"/>
  <c r="BS285" i="1"/>
  <c r="CM285" i="1" s="1"/>
  <c r="BO285" i="1"/>
  <c r="CL285" i="1" s="1"/>
  <c r="BK285" i="1"/>
  <c r="CC283" i="1"/>
  <c r="CC272" i="1" s="1"/>
  <c r="BY283" i="1"/>
  <c r="M283" i="1"/>
  <c r="CB283" i="1"/>
  <c r="BX283" i="1"/>
  <c r="CI325" i="1"/>
  <c r="CJ322" i="1"/>
  <c r="CF267" i="1"/>
  <c r="CU265" i="1"/>
  <c r="CS265" i="1"/>
  <c r="CT265" i="1"/>
  <c r="CA254" i="1"/>
  <c r="BW254" i="1"/>
  <c r="CS254" i="1" s="1"/>
  <c r="CA253" i="1"/>
  <c r="BW253" i="1"/>
  <c r="DY249" i="1"/>
  <c r="DW247" i="1"/>
  <c r="CT241" i="1"/>
  <c r="EY241" i="1"/>
  <c r="EA241" i="1"/>
  <c r="DZ241" i="1"/>
  <c r="EX239" i="1"/>
  <c r="EA239" i="1"/>
  <c r="EY239" i="1"/>
  <c r="DZ239" i="1"/>
  <c r="EY236" i="1"/>
  <c r="DZ236" i="1"/>
  <c r="EX236" i="1"/>
  <c r="EA236" i="1"/>
  <c r="CT231" i="1"/>
  <c r="CU231" i="1"/>
  <c r="CS231" i="1"/>
  <c r="CA228" i="1"/>
  <c r="CT228" i="1" s="1"/>
  <c r="BW228" i="1"/>
  <c r="CS228" i="1" s="1"/>
  <c r="BS228" i="1"/>
  <c r="CM228" i="1" s="1"/>
  <c r="CI228" i="1"/>
  <c r="BO228" i="1"/>
  <c r="CL228" i="1" s="1"/>
  <c r="BK228" i="1"/>
  <c r="CA199" i="1"/>
  <c r="BW199" i="1"/>
  <c r="CS199" i="1" s="1"/>
  <c r="CA198" i="1"/>
  <c r="BW198" i="1"/>
  <c r="EN184" i="1"/>
  <c r="DW184" i="1"/>
  <c r="CG326" i="1"/>
  <c r="CJ323" i="1"/>
  <c r="GY299" i="1"/>
  <c r="CJ288" i="1"/>
  <c r="CR287" i="1"/>
  <c r="CQ285" i="1"/>
  <c r="EQ282" i="1"/>
  <c r="CJ282" i="1"/>
  <c r="GY272" i="1"/>
  <c r="CR267" i="1"/>
  <c r="EC257" i="1"/>
  <c r="CB257" i="1"/>
  <c r="GX257" i="1"/>
  <c r="CG254" i="1"/>
  <c r="GX247" i="1"/>
  <c r="CC247" i="1"/>
  <c r="DY241" i="1"/>
  <c r="GX220" i="1"/>
  <c r="CQ228" i="1"/>
  <c r="DA227" i="1"/>
  <c r="DD227" i="1"/>
  <c r="BS227" i="1"/>
  <c r="CM227" i="1" s="1"/>
  <c r="BO227" i="1"/>
  <c r="CL227" i="1" s="1"/>
  <c r="BK227" i="1"/>
  <c r="CK227" i="1" s="1"/>
  <c r="BS225" i="1"/>
  <c r="CM225" i="1" s="1"/>
  <c r="BO225" i="1"/>
  <c r="CL225" i="1" s="1"/>
  <c r="BK225" i="1"/>
  <c r="CK225" i="1" s="1"/>
  <c r="CC209" i="1"/>
  <c r="CD197" i="1"/>
  <c r="CP197" i="1" s="1"/>
  <c r="BZ197" i="1"/>
  <c r="BW197" i="1" s="1"/>
  <c r="CS197" i="1" s="1"/>
  <c r="CE197" i="1"/>
  <c r="BW195" i="1"/>
  <c r="CS195" i="1" s="1"/>
  <c r="EC184" i="1"/>
  <c r="CN254" i="1"/>
  <c r="CJ231" i="1"/>
  <c r="DA228" i="1"/>
  <c r="CR224" i="1"/>
  <c r="CN197" i="1"/>
  <c r="FX127" i="1"/>
  <c r="CB117" i="1"/>
  <c r="BX117" i="1"/>
  <c r="CC117" i="1"/>
  <c r="BY117" i="1"/>
  <c r="FX118" i="1"/>
  <c r="CE110" i="1"/>
  <c r="M110" i="1"/>
  <c r="CD110" i="1"/>
  <c r="CP110" i="1" s="1"/>
  <c r="BZ110" i="1"/>
  <c r="CO110" i="1" s="1"/>
  <c r="GW425" i="1"/>
  <c r="DY78" i="1"/>
  <c r="DW76" i="1"/>
  <c r="FW65" i="1"/>
  <c r="R436" i="1"/>
  <c r="CE55" i="1"/>
  <c r="CD55" i="1"/>
  <c r="BZ55" i="1"/>
  <c r="R432" i="1"/>
  <c r="CE54" i="1"/>
  <c r="CD54" i="1"/>
  <c r="BZ54" i="1"/>
  <c r="GY257" i="1"/>
  <c r="ED257" i="1"/>
  <c r="CF254" i="1"/>
  <c r="CP241" i="1"/>
  <c r="CJ226" i="1"/>
  <c r="CJ222" i="1"/>
  <c r="FY209" i="1"/>
  <c r="CG206" i="1"/>
  <c r="GC139" i="1"/>
  <c r="FY126" i="1"/>
  <c r="EN126" i="1"/>
  <c r="GX424" i="1"/>
  <c r="GV424" i="1"/>
  <c r="GY126" i="1"/>
  <c r="GW424" i="1"/>
  <c r="DW126" i="1"/>
  <c r="DW117" i="1"/>
  <c r="FJ101" i="1"/>
  <c r="FL101" i="1" s="1"/>
  <c r="CN112" i="1"/>
  <c r="CL112" i="1"/>
  <c r="CM112" i="1"/>
  <c r="CK112" i="1"/>
  <c r="CQ110" i="1"/>
  <c r="CU109" i="1"/>
  <c r="CS109" i="1"/>
  <c r="CT109" i="1"/>
  <c r="DV101" i="1"/>
  <c r="CC101" i="1"/>
  <c r="BY101" i="1"/>
  <c r="GY101" i="1"/>
  <c r="BX101" i="1"/>
  <c r="EN86" i="1"/>
  <c r="CC86" i="1"/>
  <c r="BY86" i="1"/>
  <c r="CB86" i="1"/>
  <c r="DY92" i="1"/>
  <c r="EX92" i="1"/>
  <c r="EA92" i="1"/>
  <c r="EY92" i="1"/>
  <c r="DZ92" i="1"/>
  <c r="EX78" i="1"/>
  <c r="EA78" i="1"/>
  <c r="EY78" i="1"/>
  <c r="DZ78" i="1"/>
  <c r="FJ76" i="1"/>
  <c r="EN65" i="1"/>
  <c r="CA71" i="1"/>
  <c r="CT71" i="1" s="1"/>
  <c r="BW71" i="1"/>
  <c r="CS71" i="1" s="1"/>
  <c r="EX71" i="1"/>
  <c r="EA71" i="1"/>
  <c r="EY71" i="1"/>
  <c r="DZ71" i="1"/>
  <c r="DV65" i="1"/>
  <c r="DB436" i="1"/>
  <c r="N436" i="1"/>
  <c r="CC55" i="1"/>
  <c r="BY55" i="1"/>
  <c r="M55" i="1"/>
  <c r="CB55" i="1"/>
  <c r="CR55" i="1" s="1"/>
  <c r="BX55" i="1"/>
  <c r="N432" i="1"/>
  <c r="CC54" i="1"/>
  <c r="BY54" i="1"/>
  <c r="M54" i="1"/>
  <c r="CB54" i="1"/>
  <c r="BX54" i="1"/>
  <c r="BS53" i="1"/>
  <c r="CM53" i="1" s="1"/>
  <c r="CI53" i="1"/>
  <c r="BO53" i="1"/>
  <c r="CL53" i="1" s="1"/>
  <c r="BK53" i="1"/>
  <c r="M53" i="1"/>
  <c r="EX52" i="1"/>
  <c r="EA52" i="1"/>
  <c r="EY52" i="1"/>
  <c r="DZ52" i="1"/>
  <c r="DY50" i="1"/>
  <c r="CD50" i="1"/>
  <c r="BZ50" i="1"/>
  <c r="CO50" i="1" s="1"/>
  <c r="CE50" i="1"/>
  <c r="GY40" i="1"/>
  <c r="CD30" i="1"/>
  <c r="CP30" i="1" s="1"/>
  <c r="BZ30" i="1"/>
  <c r="CO30" i="1" s="1"/>
  <c r="CE30" i="1"/>
  <c r="CF112" i="1"/>
  <c r="CG110" i="1"/>
  <c r="DY103" i="1"/>
  <c r="CF55" i="1"/>
  <c r="EY30" i="1"/>
  <c r="DZ30" i="1"/>
  <c r="EA30" i="1"/>
  <c r="EX30" i="1"/>
  <c r="GN424" i="1"/>
  <c r="DY21" i="1"/>
  <c r="EX21" i="1" s="1"/>
  <c r="DW15" i="1"/>
  <c r="EA21" i="1"/>
  <c r="EZ21" i="1" s="1"/>
  <c r="DZ21" i="1"/>
  <c r="EY21" i="1" s="1"/>
  <c r="GX413" i="1"/>
  <c r="I415" i="1"/>
  <c r="CB415" i="1"/>
  <c r="CR415" i="1" s="1"/>
  <c r="BX415" i="1"/>
  <c r="CQ415" i="1" s="1"/>
  <c r="EO438" i="1"/>
  <c r="AY438" i="1"/>
  <c r="CZ430" i="1"/>
  <c r="DB430" i="1" s="1"/>
  <c r="D430" i="1"/>
  <c r="CD425" i="1"/>
  <c r="CP425" i="1" s="1"/>
  <c r="BZ425" i="1"/>
  <c r="CO425" i="1" s="1"/>
  <c r="AY425" i="1"/>
  <c r="DV424" i="1"/>
  <c r="BY424" i="1"/>
  <c r="FV423" i="1"/>
  <c r="FX423" i="1" s="1"/>
  <c r="EC423" i="1"/>
  <c r="DV423" i="1"/>
  <c r="DV435" i="1" s="1"/>
  <c r="CB423" i="1"/>
  <c r="BY420" i="1"/>
  <c r="BQ420" i="1"/>
  <c r="BQ432" i="1" s="1"/>
  <c r="AY420" i="1"/>
  <c r="FF420" i="1" s="1"/>
  <c r="K420" i="1"/>
  <c r="K432" i="1" s="1"/>
  <c r="BX416" i="1"/>
  <c r="CQ416" i="1" s="1"/>
  <c r="BX412" i="1"/>
  <c r="CQ412" i="1" s="1"/>
  <c r="BX7" i="1"/>
  <c r="BW9" i="1"/>
  <c r="CS9" i="1" s="1"/>
  <c r="EN138" i="1"/>
  <c r="GX86" i="1"/>
  <c r="CQ71" i="1"/>
  <c r="GX65" i="1"/>
  <c r="CJ53" i="1"/>
  <c r="BS28" i="1"/>
  <c r="CM28" i="1" s="1"/>
  <c r="BO28" i="1"/>
  <c r="CL28" i="1" s="1"/>
  <c r="BK28" i="1"/>
  <c r="CK28" i="1" s="1"/>
  <c r="CC28" i="1"/>
  <c r="BY28" i="1"/>
  <c r="CB28" i="1"/>
  <c r="CR28" i="1" s="1"/>
  <c r="BX28" i="1"/>
  <c r="BS27" i="1"/>
  <c r="BO27" i="1"/>
  <c r="BK27" i="1"/>
  <c r="BS26" i="1"/>
  <c r="CM26" i="1" s="1"/>
  <c r="BO26" i="1"/>
  <c r="CL26" i="1" s="1"/>
  <c r="BK26" i="1"/>
  <c r="CE26" i="1"/>
  <c r="CD26" i="1"/>
  <c r="CP26" i="1" s="1"/>
  <c r="BZ26" i="1"/>
  <c r="CO26" i="1" s="1"/>
  <c r="FS25" i="1"/>
  <c r="CU25" i="1"/>
  <c r="CS25" i="1"/>
  <c r="CT25" i="1"/>
  <c r="FY425" i="1"/>
  <c r="GC425" i="1" s="1"/>
  <c r="FY15" i="1"/>
  <c r="DV15" i="1"/>
  <c r="FV419" i="1"/>
  <c r="GW413" i="1"/>
  <c r="CC415" i="1"/>
  <c r="DV439" i="1"/>
  <c r="CA10" i="1"/>
  <c r="BW10" i="1"/>
  <c r="DE444" i="1"/>
  <c r="BY425" i="1"/>
  <c r="BY437" i="1" s="1"/>
  <c r="CD424" i="1"/>
  <c r="CP424" i="1" s="1"/>
  <c r="BZ424" i="1"/>
  <c r="CO424" i="1" s="1"/>
  <c r="BV424" i="1"/>
  <c r="CG424" i="1" s="1"/>
  <c r="BR424" i="1"/>
  <c r="CF424" i="1" s="1"/>
  <c r="BN424" i="1"/>
  <c r="CE424" i="1" s="1"/>
  <c r="BZ423" i="1"/>
  <c r="GX420" i="1"/>
  <c r="CD420" i="1"/>
  <c r="CP420" i="1" s="1"/>
  <c r="BZ420" i="1"/>
  <c r="CO420" i="1" s="1"/>
  <c r="BV420" i="1"/>
  <c r="CG420" i="1" s="1"/>
  <c r="BR420" i="1"/>
  <c r="CF420" i="1" s="1"/>
  <c r="BN420" i="1"/>
  <c r="CE420" i="1" s="1"/>
  <c r="DE453" i="1"/>
  <c r="CC416" i="1"/>
  <c r="CC412" i="1"/>
  <c r="CC7" i="1"/>
  <c r="BM412" i="1"/>
  <c r="BM430" i="1" s="1"/>
  <c r="CH412" i="1"/>
  <c r="CI412" i="1"/>
  <c r="DH416" i="1"/>
  <c r="DH412" i="1"/>
  <c r="DH430" i="1" s="1"/>
  <c r="CX412" i="1"/>
  <c r="DA9" i="1"/>
  <c r="DD9" i="1"/>
  <c r="CB416" i="1"/>
  <c r="CR416" i="1" s="1"/>
  <c r="CB412" i="1"/>
  <c r="CB7" i="1"/>
  <c r="CA9" i="1"/>
  <c r="CT9" i="1" s="1"/>
  <c r="BZ416" i="1"/>
  <c r="CO416" i="1" s="1"/>
  <c r="DJ325" i="1"/>
  <c r="CI26" i="1"/>
  <c r="BS9" i="1"/>
  <c r="BK9" i="1"/>
  <c r="FJ7" i="1"/>
  <c r="DV7" i="1"/>
  <c r="EM443" i="1"/>
  <c r="FW430" i="1"/>
  <c r="FY430" i="1"/>
  <c r="FV430" i="1"/>
  <c r="FL375" i="1"/>
  <c r="FJ375" i="1"/>
  <c r="AY441" i="1"/>
  <c r="GX375" i="1"/>
  <c r="GY375" i="1"/>
  <c r="BX438" i="1"/>
  <c r="CQ438" i="1" s="1"/>
  <c r="BT438" i="1"/>
  <c r="CJ438" i="1" s="1"/>
  <c r="BL438" i="1"/>
  <c r="CH438" i="1" s="1"/>
  <c r="BW400" i="1"/>
  <c r="EY399" i="1"/>
  <c r="DZ399" i="1"/>
  <c r="EA399" i="1"/>
  <c r="EX399" i="1"/>
  <c r="EX397" i="1"/>
  <c r="EL397" i="1"/>
  <c r="DZ397" i="1"/>
  <c r="EY397" i="1"/>
  <c r="EA397" i="1"/>
  <c r="CT396" i="1"/>
  <c r="CU396" i="1"/>
  <c r="CS396" i="1"/>
  <c r="DW416" i="1"/>
  <c r="DY416" i="1" s="1"/>
  <c r="CA396" i="1"/>
  <c r="DW375" i="1"/>
  <c r="EQ412" i="1"/>
  <c r="DW412" i="1"/>
  <c r="DY366" i="1"/>
  <c r="DW364" i="1"/>
  <c r="BB418" i="1"/>
  <c r="CC359" i="1"/>
  <c r="CC348" i="1" s="1"/>
  <c r="BY359" i="1"/>
  <c r="BY348" i="1" s="1"/>
  <c r="CB359" i="1"/>
  <c r="CR359" i="1" s="1"/>
  <c r="BX359" i="1"/>
  <c r="CQ359" i="1" s="1"/>
  <c r="CT358" i="1"/>
  <c r="CU358" i="1"/>
  <c r="CS358" i="1"/>
  <c r="CT392" i="1"/>
  <c r="CS392" i="1"/>
  <c r="CU392" i="1"/>
  <c r="GX415" i="1"/>
  <c r="FJ364" i="1"/>
  <c r="FL364" i="1" s="1"/>
  <c r="EN364" i="1"/>
  <c r="CC364" i="1"/>
  <c r="BY364" i="1"/>
  <c r="CB364" i="1"/>
  <c r="DY369" i="1"/>
  <c r="EX369" i="1"/>
  <c r="EA369" i="1"/>
  <c r="EY369" i="1"/>
  <c r="DZ369" i="1"/>
  <c r="EN450" i="1"/>
  <c r="BA418" i="1"/>
  <c r="DB419" i="1"/>
  <c r="FJ348" i="1"/>
  <c r="FL348" i="1" s="1"/>
  <c r="BS359" i="1"/>
  <c r="CM359" i="1" s="1"/>
  <c r="BO359" i="1"/>
  <c r="CL359" i="1" s="1"/>
  <c r="BK359" i="1"/>
  <c r="CE359" i="1"/>
  <c r="CD359" i="1"/>
  <c r="CP359" i="1" s="1"/>
  <c r="BZ359" i="1"/>
  <c r="CO359" i="1" s="1"/>
  <c r="EN441" i="1"/>
  <c r="EN426" i="1" s="1"/>
  <c r="FX365" i="1"/>
  <c r="DV348" i="1"/>
  <c r="GI419" i="1"/>
  <c r="GK419" i="1" s="1"/>
  <c r="GY334" i="1"/>
  <c r="DV334" i="1"/>
  <c r="GX313" i="1"/>
  <c r="FX349" i="1"/>
  <c r="EY323" i="1"/>
  <c r="DZ323" i="1"/>
  <c r="EX323" i="1"/>
  <c r="EA323" i="1"/>
  <c r="EY322" i="1"/>
  <c r="EL322" i="1"/>
  <c r="DZ322" i="1"/>
  <c r="EX322" i="1"/>
  <c r="EA322" i="1"/>
  <c r="CA321" i="1"/>
  <c r="BW321" i="1"/>
  <c r="DY318" i="1"/>
  <c r="DW313" i="1"/>
  <c r="EX318" i="1"/>
  <c r="EA318" i="1"/>
  <c r="EY318" i="1"/>
  <c r="DZ318" i="1"/>
  <c r="CB417" i="1"/>
  <c r="CR417" i="1" s="1"/>
  <c r="BX417" i="1"/>
  <c r="CQ417" i="1" s="1"/>
  <c r="BT417" i="1"/>
  <c r="CJ417" i="1" s="1"/>
  <c r="BP417" i="1"/>
  <c r="CI417" i="1" s="1"/>
  <c r="BL417" i="1"/>
  <c r="CH417" i="1" s="1"/>
  <c r="DV299" i="1"/>
  <c r="CB299" i="1"/>
  <c r="BX299" i="1"/>
  <c r="DZ287" i="1"/>
  <c r="EY287" i="1" s="1"/>
  <c r="EA287" i="1"/>
  <c r="EZ287" i="1" s="1"/>
  <c r="CE283" i="1"/>
  <c r="CD283" i="1"/>
  <c r="CP283" i="1" s="1"/>
  <c r="BZ283" i="1"/>
  <c r="CO283" i="1" s="1"/>
  <c r="EY282" i="1"/>
  <c r="DZ282" i="1"/>
  <c r="EX282" i="1"/>
  <c r="EA282" i="1"/>
  <c r="DV272" i="1"/>
  <c r="EX325" i="1"/>
  <c r="EA325" i="1"/>
  <c r="EY325" i="1"/>
  <c r="DZ325" i="1"/>
  <c r="CA324" i="1"/>
  <c r="BW324" i="1"/>
  <c r="FK322" i="1"/>
  <c r="EN322" i="1"/>
  <c r="FY417" i="1"/>
  <c r="FJ322" i="1"/>
  <c r="EO322" i="1"/>
  <c r="DY322" i="1"/>
  <c r="CQ322" i="1"/>
  <c r="CI322" i="1"/>
  <c r="M417" i="1"/>
  <c r="EN299" i="1"/>
  <c r="DY304" i="1"/>
  <c r="EX304" i="1"/>
  <c r="EA304" i="1"/>
  <c r="EY304" i="1"/>
  <c r="DZ304" i="1"/>
  <c r="ED299" i="1"/>
  <c r="CC299" i="1"/>
  <c r="EC272" i="1"/>
  <c r="CI288" i="1"/>
  <c r="DY287" i="1"/>
  <c r="EX287" i="1" s="1"/>
  <c r="CQ287" i="1"/>
  <c r="EX285" i="1"/>
  <c r="EA285" i="1"/>
  <c r="EY285" i="1"/>
  <c r="DZ285" i="1"/>
  <c r="CA284" i="1"/>
  <c r="BW284" i="1"/>
  <c r="EJ283" i="1"/>
  <c r="EN283" i="1"/>
  <c r="BS283" i="1"/>
  <c r="CM283" i="1" s="1"/>
  <c r="BO283" i="1"/>
  <c r="CL283" i="1" s="1"/>
  <c r="BK283" i="1"/>
  <c r="CQ282" i="1"/>
  <c r="CI282" i="1"/>
  <c r="GX272" i="1"/>
  <c r="CQ326" i="1"/>
  <c r="CQ325" i="1"/>
  <c r="CR322" i="1"/>
  <c r="DY315" i="1"/>
  <c r="BK267" i="1"/>
  <c r="CK267" i="1" s="1"/>
  <c r="CE267" i="1"/>
  <c r="CN267" i="1"/>
  <c r="CM267" i="1"/>
  <c r="DV257" i="1"/>
  <c r="DY259" i="1"/>
  <c r="DW257" i="1"/>
  <c r="CT253" i="1"/>
  <c r="CU253" i="1"/>
  <c r="CS253" i="1"/>
  <c r="CB247" i="1"/>
  <c r="BX247" i="1"/>
  <c r="CO241" i="1"/>
  <c r="BW241" i="1"/>
  <c r="CS241" i="1" s="1"/>
  <c r="CD239" i="1"/>
  <c r="CP239" i="1" s="1"/>
  <c r="BZ239" i="1"/>
  <c r="CO239" i="1" s="1"/>
  <c r="CE239" i="1"/>
  <c r="EY237" i="1"/>
  <c r="DZ237" i="1"/>
  <c r="EX237" i="1"/>
  <c r="EA237" i="1"/>
  <c r="DY233" i="1"/>
  <c r="DW220" i="1"/>
  <c r="CI226" i="1"/>
  <c r="BO226" i="1"/>
  <c r="CL226" i="1" s="1"/>
  <c r="CI224" i="1"/>
  <c r="BO224" i="1"/>
  <c r="CL224" i="1" s="1"/>
  <c r="CA222" i="1"/>
  <c r="CT222" i="1" s="1"/>
  <c r="BW222" i="1"/>
  <c r="CS222" i="1" s="1"/>
  <c r="CI222" i="1"/>
  <c r="BO222" i="1"/>
  <c r="CL222" i="1" s="1"/>
  <c r="DY211" i="1"/>
  <c r="DW209" i="1"/>
  <c r="CB209" i="1"/>
  <c r="BX209" i="1"/>
  <c r="CT205" i="1"/>
  <c r="CU205" i="1"/>
  <c r="CS205" i="1"/>
  <c r="CT198" i="1"/>
  <c r="CU198" i="1"/>
  <c r="CS198" i="1"/>
  <c r="EY195" i="1"/>
  <c r="DZ195" i="1"/>
  <c r="EX195" i="1"/>
  <c r="EA195" i="1"/>
  <c r="FJ184" i="1"/>
  <c r="BY184" i="1"/>
  <c r="CA163" i="1"/>
  <c r="CQ163" i="1"/>
  <c r="BW163" i="1"/>
  <c r="CS163" i="1" s="1"/>
  <c r="CT162" i="1"/>
  <c r="CU162" i="1"/>
  <c r="CS162" i="1"/>
  <c r="DY140" i="1"/>
  <c r="DW138" i="1"/>
  <c r="FY138" i="1"/>
  <c r="FX300" i="1"/>
  <c r="CJ287" i="1"/>
  <c r="CI285" i="1"/>
  <c r="CI283" i="1"/>
  <c r="CR282" i="1"/>
  <c r="CE254" i="1"/>
  <c r="CR239" i="1"/>
  <c r="CB239" i="1"/>
  <c r="BX239" i="1"/>
  <c r="CQ239" i="1"/>
  <c r="CC239" i="1"/>
  <c r="BY239" i="1"/>
  <c r="BS230" i="1"/>
  <c r="CM230" i="1" s="1"/>
  <c r="BO230" i="1"/>
  <c r="CL230" i="1" s="1"/>
  <c r="BK230" i="1"/>
  <c r="CK230" i="1" s="1"/>
  <c r="BW229" i="1"/>
  <c r="CQ226" i="1"/>
  <c r="CQ224" i="1"/>
  <c r="BS223" i="1"/>
  <c r="CM223" i="1" s="1"/>
  <c r="BO223" i="1"/>
  <c r="CL223" i="1" s="1"/>
  <c r="BK223" i="1"/>
  <c r="GX209" i="1"/>
  <c r="CE206" i="1"/>
  <c r="CD206" i="1"/>
  <c r="CA206" i="1" s="1"/>
  <c r="BZ206" i="1"/>
  <c r="BW206" i="1" s="1"/>
  <c r="M206" i="1"/>
  <c r="CG197" i="1"/>
  <c r="CA195" i="1"/>
  <c r="DV184" i="1"/>
  <c r="EN257" i="1"/>
  <c r="DY251" i="1"/>
  <c r="FY220" i="1"/>
  <c r="BO231" i="1"/>
  <c r="CH231" i="1"/>
  <c r="CI227" i="1"/>
  <c r="DA226" i="1"/>
  <c r="CI225" i="1"/>
  <c r="CJ224" i="1"/>
  <c r="DV209" i="1"/>
  <c r="FK184" i="1"/>
  <c r="CD112" i="1"/>
  <c r="CA112" i="1" s="1"/>
  <c r="BZ112" i="1"/>
  <c r="BW112" i="1" s="1"/>
  <c r="M112" i="1"/>
  <c r="CE112" i="1"/>
  <c r="DV86" i="1"/>
  <c r="DV40" i="1"/>
  <c r="FY247" i="1"/>
  <c r="EN247" i="1"/>
  <c r="EN220" i="1"/>
  <c r="CR228" i="1"/>
  <c r="CJ228" i="1"/>
  <c r="CR226" i="1"/>
  <c r="CI223" i="1"/>
  <c r="CR222" i="1"/>
  <c r="EN209" i="1"/>
  <c r="CF197" i="1"/>
  <c r="CR163" i="1"/>
  <c r="ED138" i="1"/>
  <c r="CC126" i="1"/>
  <c r="BY126" i="1"/>
  <c r="DY131" i="1"/>
  <c r="EY131" i="1"/>
  <c r="DZ131" i="1"/>
  <c r="EX131" i="1"/>
  <c r="EA131" i="1"/>
  <c r="DV126" i="1"/>
  <c r="FJ117" i="1"/>
  <c r="FL117" i="1" s="1"/>
  <c r="FY117" i="1"/>
  <c r="EN117" i="1"/>
  <c r="DV117" i="1"/>
  <c r="GY117" i="1"/>
  <c r="GZ117" i="1" s="1"/>
  <c r="FY101" i="1"/>
  <c r="EN101" i="1"/>
  <c r="CG112" i="1"/>
  <c r="CA109" i="1"/>
  <c r="BW109" i="1"/>
  <c r="DY108" i="1"/>
  <c r="EX108" i="1"/>
  <c r="EA108" i="1"/>
  <c r="EY108" i="1"/>
  <c r="DZ108" i="1"/>
  <c r="CB101" i="1"/>
  <c r="DW101" i="1"/>
  <c r="FJ86" i="1"/>
  <c r="FL86" i="1" s="1"/>
  <c r="FV86" i="1"/>
  <c r="GV425" i="1"/>
  <c r="FW86" i="1"/>
  <c r="DY88" i="1"/>
  <c r="EY88" i="1"/>
  <c r="DZ88" i="1"/>
  <c r="EX88" i="1"/>
  <c r="EA88" i="1"/>
  <c r="DW86" i="1"/>
  <c r="DY81" i="1"/>
  <c r="EY81" i="1"/>
  <c r="DZ81" i="1"/>
  <c r="EX81" i="1"/>
  <c r="EA81" i="1"/>
  <c r="FJ65" i="1"/>
  <c r="FL65" i="1"/>
  <c r="DA71" i="1"/>
  <c r="DD71" i="1"/>
  <c r="CG71" i="1"/>
  <c r="BS71" i="1"/>
  <c r="CE71" i="1"/>
  <c r="BK71" i="1"/>
  <c r="CK71" i="1" s="1"/>
  <c r="CC65" i="1"/>
  <c r="BY65" i="1"/>
  <c r="CB65" i="1"/>
  <c r="FV65" i="1"/>
  <c r="DW65" i="1"/>
  <c r="FJ40" i="1"/>
  <c r="GA40" i="1"/>
  <c r="BS55" i="1"/>
  <c r="BO55" i="1"/>
  <c r="CL55" i="1" s="1"/>
  <c r="BK55" i="1"/>
  <c r="CK55" i="1" s="1"/>
  <c r="BS54" i="1"/>
  <c r="CM54" i="1" s="1"/>
  <c r="BO54" i="1"/>
  <c r="CL54" i="1" s="1"/>
  <c r="BK54" i="1"/>
  <c r="CK54" i="1" s="1"/>
  <c r="CE53" i="1"/>
  <c r="CD53" i="1"/>
  <c r="BZ53" i="1"/>
  <c r="CI52" i="1"/>
  <c r="BO52" i="1"/>
  <c r="CE52" i="1"/>
  <c r="CD52" i="1"/>
  <c r="BZ52" i="1"/>
  <c r="EY50" i="1"/>
  <c r="DZ50" i="1"/>
  <c r="EX50" i="1"/>
  <c r="EA50" i="1"/>
  <c r="FY40" i="1"/>
  <c r="DY42" i="1"/>
  <c r="EY42" i="1"/>
  <c r="DZ42" i="1"/>
  <c r="EX42" i="1"/>
  <c r="EA42" i="1"/>
  <c r="BS30" i="1"/>
  <c r="CM30" i="1" s="1"/>
  <c r="CI30" i="1"/>
  <c r="BO30" i="1"/>
  <c r="CL30" i="1" s="1"/>
  <c r="BK30" i="1"/>
  <c r="N431" i="1"/>
  <c r="EC138" i="1"/>
  <c r="FX87" i="1"/>
  <c r="CJ52" i="1"/>
  <c r="CE28" i="1"/>
  <c r="CD28" i="1"/>
  <c r="CP28" i="1" s="1"/>
  <c r="BZ28" i="1"/>
  <c r="CO28" i="1" s="1"/>
  <c r="CC26" i="1"/>
  <c r="BY26" i="1"/>
  <c r="CB26" i="1"/>
  <c r="CR26" i="1" s="1"/>
  <c r="BX26" i="1"/>
  <c r="FV425" i="1"/>
  <c r="FX425" i="1" s="1"/>
  <c r="EY23" i="1"/>
  <c r="DZ23" i="1"/>
  <c r="EX23" i="1"/>
  <c r="EA23" i="1"/>
  <c r="EX22" i="1"/>
  <c r="EA22" i="1"/>
  <c r="EY22" i="1"/>
  <c r="DZ22" i="1"/>
  <c r="GY419" i="1"/>
  <c r="GV413" i="1"/>
  <c r="CD415" i="1"/>
  <c r="CP415" i="1" s="1"/>
  <c r="BZ415" i="1"/>
  <c r="CO415" i="1" s="1"/>
  <c r="DW439" i="1"/>
  <c r="GY417" i="1"/>
  <c r="BP430" i="1"/>
  <c r="CI430" i="1" s="1"/>
  <c r="BL430" i="1"/>
  <c r="CH430" i="1" s="1"/>
  <c r="N430" i="1"/>
  <c r="CB425" i="1"/>
  <c r="CB437" i="1" s="1"/>
  <c r="BX425" i="1"/>
  <c r="BX437" i="1" s="1"/>
  <c r="FJ424" i="1"/>
  <c r="ED424" i="1"/>
  <c r="CC424" i="1"/>
  <c r="EN423" i="1"/>
  <c r="EN435" i="1" s="1"/>
  <c r="GY420" i="1"/>
  <c r="FV420" i="1"/>
  <c r="FX420" i="1" s="1"/>
  <c r="EC420" i="1"/>
  <c r="BU420" i="1"/>
  <c r="BU432" i="1" s="1"/>
  <c r="BM420" i="1"/>
  <c r="BM432" i="1" s="1"/>
  <c r="GX7" i="1"/>
  <c r="M416" i="1"/>
  <c r="EN76" i="1"/>
  <c r="CF71" i="1"/>
  <c r="DY69" i="1"/>
  <c r="CJ55" i="1"/>
  <c r="CF54" i="1"/>
  <c r="FJ15" i="1"/>
  <c r="GI29" i="1"/>
  <c r="GB29" i="1"/>
  <c r="GD29" i="1" s="1"/>
  <c r="FS29" i="1"/>
  <c r="CO27" i="1"/>
  <c r="CE27" i="1"/>
  <c r="CP27" i="1"/>
  <c r="CD27" i="1"/>
  <c r="BZ27" i="1"/>
  <c r="EX26" i="1"/>
  <c r="EA26" i="1"/>
  <c r="EY26" i="1"/>
  <c r="DZ26" i="1"/>
  <c r="CA25" i="1"/>
  <c r="BW25" i="1"/>
  <c r="FB21" i="1"/>
  <c r="EC15" i="1"/>
  <c r="GY413" i="1"/>
  <c r="GX15" i="1"/>
  <c r="FV15" i="1"/>
  <c r="BY415" i="1"/>
  <c r="BQ415" i="1"/>
  <c r="AY439" i="1"/>
  <c r="DW438" i="1"/>
  <c r="CU10" i="1"/>
  <c r="CS10" i="1"/>
  <c r="CT10" i="1"/>
  <c r="BU430" i="1"/>
  <c r="BU417" i="1"/>
  <c r="I430" i="1"/>
  <c r="FY7" i="1"/>
  <c r="CC425" i="1"/>
  <c r="CC437" i="1" s="1"/>
  <c r="DW424" i="1"/>
  <c r="CB424" i="1"/>
  <c r="CR424" i="1" s="1"/>
  <c r="BX424" i="1"/>
  <c r="CQ424" i="1" s="1"/>
  <c r="BT424" i="1"/>
  <c r="CJ424" i="1" s="1"/>
  <c r="BP424" i="1"/>
  <c r="CI424" i="1" s="1"/>
  <c r="BL424" i="1"/>
  <c r="CH424" i="1" s="1"/>
  <c r="K424" i="1"/>
  <c r="K436" i="1" s="1"/>
  <c r="GX423" i="1"/>
  <c r="FJ423" i="1"/>
  <c r="ED423" i="1"/>
  <c r="DW423" i="1"/>
  <c r="CC423" i="1"/>
  <c r="CC435" i="1" s="1"/>
  <c r="BX423" i="1"/>
  <c r="ED420" i="1"/>
  <c r="ED7" i="1"/>
  <c r="DW420" i="1"/>
  <c r="DW7" i="1"/>
  <c r="CB420" i="1"/>
  <c r="CR420" i="1" s="1"/>
  <c r="BX420" i="1"/>
  <c r="CQ420" i="1" s="1"/>
  <c r="BT420" i="1"/>
  <c r="CJ420" i="1" s="1"/>
  <c r="BP420" i="1"/>
  <c r="CI420" i="1" s="1"/>
  <c r="BL420" i="1"/>
  <c r="CH420" i="1" s="1"/>
  <c r="GY7" i="1"/>
  <c r="GZ9" i="1"/>
  <c r="GA412" i="1"/>
  <c r="FW412" i="1"/>
  <c r="CW412" i="1"/>
  <c r="DC412" i="1" s="1"/>
  <c r="DC9" i="1"/>
  <c r="BY416" i="1"/>
  <c r="BY412" i="1"/>
  <c r="BY7" i="1"/>
  <c r="BQ412" i="1"/>
  <c r="CP412" i="1"/>
  <c r="CE412" i="1"/>
  <c r="M412" i="1"/>
  <c r="EN7" i="1"/>
  <c r="G400" i="1"/>
  <c r="DK400" i="1" s="1"/>
  <c r="G399" i="1"/>
  <c r="DK399" i="1" s="1"/>
  <c r="G326" i="1"/>
  <c r="DK326" i="1" s="1"/>
  <c r="G163" i="1"/>
  <c r="DK163" i="1" s="1"/>
  <c r="G241" i="1"/>
  <c r="DK241" i="1" s="1"/>
  <c r="G206" i="1"/>
  <c r="DK206" i="1" s="1"/>
  <c r="G110" i="1"/>
  <c r="DK110" i="1" s="1"/>
  <c r="GN438" i="1"/>
  <c r="CI28" i="1"/>
  <c r="BO9" i="1"/>
  <c r="CQ9" i="1"/>
  <c r="FY348" i="1" l="1"/>
  <c r="GZ209" i="1"/>
  <c r="FL209" i="1"/>
  <c r="GI418" i="1"/>
  <c r="GK418" i="1" s="1"/>
  <c r="BO417" i="1"/>
  <c r="Z417" i="1" s="1"/>
  <c r="BR417" i="1"/>
  <c r="CF417" i="1" s="1"/>
  <c r="BN417" i="1"/>
  <c r="CE417" i="1" s="1"/>
  <c r="FL40" i="1"/>
  <c r="BW326" i="1"/>
  <c r="CS326" i="1" s="1"/>
  <c r="GY364" i="1"/>
  <c r="GZ364" i="1" s="1"/>
  <c r="BV417" i="1"/>
  <c r="CG417" i="1" s="1"/>
  <c r="GX334" i="1"/>
  <c r="GZ334" i="1" s="1"/>
  <c r="GX419" i="1"/>
  <c r="GZ220" i="1"/>
  <c r="GZ101" i="1"/>
  <c r="EQ432" i="1"/>
  <c r="FX7" i="1"/>
  <c r="EQ425" i="1"/>
  <c r="GB418" i="1"/>
  <c r="GD417" i="1"/>
  <c r="FY418" i="1"/>
  <c r="CU282" i="1"/>
  <c r="CU227" i="1"/>
  <c r="EQ420" i="1"/>
  <c r="CN400" i="1"/>
  <c r="GD438" i="1"/>
  <c r="GY138" i="1"/>
  <c r="GZ138" i="1" s="1"/>
  <c r="CA326" i="1"/>
  <c r="CN399" i="1"/>
  <c r="GZ65" i="1"/>
  <c r="CU325" i="1"/>
  <c r="GF438" i="1"/>
  <c r="GH438" i="1" s="1"/>
  <c r="CU266" i="1"/>
  <c r="CV266" i="1" s="1"/>
  <c r="CV403" i="1"/>
  <c r="GV412" i="1"/>
  <c r="GV418" i="1" s="1"/>
  <c r="GV428" i="1" s="1"/>
  <c r="EQ424" i="1"/>
  <c r="FB415" i="1"/>
  <c r="EQ436" i="1"/>
  <c r="GZ299" i="1"/>
  <c r="GZ247" i="1"/>
  <c r="CU224" i="1"/>
  <c r="GD424" i="1"/>
  <c r="CU322" i="1"/>
  <c r="DJ419" i="1"/>
  <c r="CU223" i="1"/>
  <c r="BW417" i="1"/>
  <c r="CS417" i="1" s="1"/>
  <c r="GZ257" i="1"/>
  <c r="BR419" i="1"/>
  <c r="BR431" i="1" s="1"/>
  <c r="CF431" i="1" s="1"/>
  <c r="CF445" i="1" s="1"/>
  <c r="GA76" i="1"/>
  <c r="GK412" i="1"/>
  <c r="GW412" i="1"/>
  <c r="GW418" i="1" s="1"/>
  <c r="GW428" i="1" s="1"/>
  <c r="CA110" i="1"/>
  <c r="CT110" i="1" s="1"/>
  <c r="CT227" i="1"/>
  <c r="CU156" i="1"/>
  <c r="CV156" i="1" s="1"/>
  <c r="CT223" i="1"/>
  <c r="CR437" i="1"/>
  <c r="GY412" i="1"/>
  <c r="GY418" i="1" s="1"/>
  <c r="CA417" i="1"/>
  <c r="CA423" i="1"/>
  <c r="CA435" i="1" s="1"/>
  <c r="CT435" i="1" s="1"/>
  <c r="CU285" i="1"/>
  <c r="GO420" i="1"/>
  <c r="CM266" i="1"/>
  <c r="CU230" i="1"/>
  <c r="CU226" i="1"/>
  <c r="CT282" i="1"/>
  <c r="CU287" i="1"/>
  <c r="CT230" i="1"/>
  <c r="BV419" i="1"/>
  <c r="CG419" i="1" s="1"/>
  <c r="GA418" i="1"/>
  <c r="BL419" i="1"/>
  <c r="BL431" i="1" s="1"/>
  <c r="CH431" i="1" s="1"/>
  <c r="CH445" i="1" s="1"/>
  <c r="FL257" i="1"/>
  <c r="BY272" i="1"/>
  <c r="CB76" i="1"/>
  <c r="GA184" i="1"/>
  <c r="GA138" i="1"/>
  <c r="GO427" i="1"/>
  <c r="D419" i="1"/>
  <c r="D431" i="1" s="1"/>
  <c r="FX86" i="1"/>
  <c r="CU71" i="1"/>
  <c r="K438" i="1"/>
  <c r="L438" i="1"/>
  <c r="GZ40" i="1"/>
  <c r="CN206" i="1"/>
  <c r="CX230" i="1"/>
  <c r="DD230" i="1" s="1"/>
  <c r="BN438" i="1"/>
  <c r="CE438" i="1" s="1"/>
  <c r="BR438" i="1"/>
  <c r="I438" i="1"/>
  <c r="CW267" i="1"/>
  <c r="DC267" i="1" s="1"/>
  <c r="FX424" i="1"/>
  <c r="BV438" i="1"/>
  <c r="CW50" i="1"/>
  <c r="DC50" i="1" s="1"/>
  <c r="CX282" i="1"/>
  <c r="DD282" i="1" s="1"/>
  <c r="CX325" i="1"/>
  <c r="DD325" i="1" s="1"/>
  <c r="CS27" i="1"/>
  <c r="CT27" i="1"/>
  <c r="CX359" i="1"/>
  <c r="DD359" i="1" s="1"/>
  <c r="GD423" i="1"/>
  <c r="GO426" i="1"/>
  <c r="EY438" i="1"/>
  <c r="DY247" i="1"/>
  <c r="GL447" i="1"/>
  <c r="CX224" i="1"/>
  <c r="DD224" i="1" s="1"/>
  <c r="CU228" i="1"/>
  <c r="CT285" i="1"/>
  <c r="CT287" i="1"/>
  <c r="CU225" i="1"/>
  <c r="CA27" i="1"/>
  <c r="GJ27" i="1"/>
  <c r="GX126" i="1"/>
  <c r="GZ126" i="1" s="1"/>
  <c r="GJ418" i="1"/>
  <c r="GL418" i="1" s="1"/>
  <c r="DB443" i="1"/>
  <c r="BW27" i="1"/>
  <c r="BL415" i="1"/>
  <c r="CH415" i="1" s="1"/>
  <c r="CW254" i="1"/>
  <c r="DC254" i="1" s="1"/>
  <c r="FW76" i="1"/>
  <c r="GA27" i="1"/>
  <c r="CW325" i="1"/>
  <c r="DC325" i="1" s="1"/>
  <c r="BK419" i="1"/>
  <c r="GZ184" i="1"/>
  <c r="GE418" i="1"/>
  <c r="GG418" i="1" s="1"/>
  <c r="GZ425" i="1"/>
  <c r="FC415" i="1"/>
  <c r="CP423" i="1"/>
  <c r="BW52" i="1"/>
  <c r="CS52" i="1" s="1"/>
  <c r="CV395" i="1"/>
  <c r="CO112" i="1"/>
  <c r="CP112" i="1"/>
  <c r="CS403" i="1"/>
  <c r="FA415" i="1"/>
  <c r="DY439" i="1"/>
  <c r="DX439" i="1" s="1"/>
  <c r="CA52" i="1"/>
  <c r="CT52" i="1" s="1"/>
  <c r="FV76" i="1"/>
  <c r="GZ86" i="1"/>
  <c r="CU195" i="1"/>
  <c r="CV195" i="1" s="1"/>
  <c r="BW110" i="1"/>
  <c r="CW287" i="1"/>
  <c r="DC287" i="1" s="1"/>
  <c r="H415" i="1"/>
  <c r="F424" i="1"/>
  <c r="F436" i="1" s="1"/>
  <c r="CW26" i="1"/>
  <c r="DC26" i="1" s="1"/>
  <c r="DK419" i="1"/>
  <c r="DK431" i="1" s="1"/>
  <c r="DY441" i="1"/>
  <c r="DX441" i="1" s="1"/>
  <c r="FL15" i="1"/>
  <c r="BX272" i="1"/>
  <c r="CC334" i="1"/>
  <c r="CX222" i="1"/>
  <c r="DD222" i="1" s="1"/>
  <c r="CX323" i="1"/>
  <c r="DD323" i="1" s="1"/>
  <c r="BY313" i="1"/>
  <c r="CB184" i="1"/>
  <c r="CA197" i="1"/>
  <c r="CT197" i="1" s="1"/>
  <c r="BP415" i="1"/>
  <c r="CI415" i="1" s="1"/>
  <c r="BY257" i="1"/>
  <c r="CA425" i="1"/>
  <c r="CA437" i="1" s="1"/>
  <c r="CT437" i="1" s="1"/>
  <c r="DJ287" i="1"/>
  <c r="CX287" i="1"/>
  <c r="DD287" i="1" s="1"/>
  <c r="GZ423" i="1"/>
  <c r="CW282" i="1"/>
  <c r="DC282" i="1" s="1"/>
  <c r="G431" i="1"/>
  <c r="DL419" i="1"/>
  <c r="BW424" i="1"/>
  <c r="CS424" i="1" s="1"/>
  <c r="DJ282" i="1"/>
  <c r="G417" i="1"/>
  <c r="CA288" i="1"/>
  <c r="CN288" i="1"/>
  <c r="CX225" i="1"/>
  <c r="DD225" i="1" s="1"/>
  <c r="CW55" i="1"/>
  <c r="DC55" i="1" s="1"/>
  <c r="CW323" i="1"/>
  <c r="DC323" i="1" s="1"/>
  <c r="BW30" i="1"/>
  <c r="CS30" i="1" s="1"/>
  <c r="CC40" i="1"/>
  <c r="CJ415" i="1"/>
  <c r="CB272" i="1"/>
  <c r="DK417" i="1"/>
  <c r="G415" i="1"/>
  <c r="CA424" i="1"/>
  <c r="CT424" i="1" s="1"/>
  <c r="CB138" i="1"/>
  <c r="BX184" i="1"/>
  <c r="BW288" i="1"/>
  <c r="CS288" i="1" s="1"/>
  <c r="H431" i="1"/>
  <c r="CB313" i="1"/>
  <c r="G430" i="1"/>
  <c r="CX52" i="1"/>
  <c r="DD52" i="1" s="1"/>
  <c r="F420" i="1"/>
  <c r="F432" i="1" s="1"/>
  <c r="DJ254" i="1"/>
  <c r="BM415" i="1"/>
  <c r="CX283" i="1"/>
  <c r="DD283" i="1" s="1"/>
  <c r="BX313" i="1"/>
  <c r="DK28" i="1"/>
  <c r="CQ30" i="1"/>
  <c r="DJ222" i="1"/>
  <c r="BV416" i="1"/>
  <c r="CG416" i="1" s="1"/>
  <c r="DY40" i="1"/>
  <c r="CC220" i="1"/>
  <c r="CW283" i="1"/>
  <c r="DC283" i="1" s="1"/>
  <c r="F438" i="1"/>
  <c r="CN28" i="1"/>
  <c r="DY86" i="1"/>
  <c r="BX348" i="1"/>
  <c r="DY364" i="1"/>
  <c r="BW397" i="1"/>
  <c r="CS397" i="1" s="1"/>
  <c r="K425" i="1"/>
  <c r="K437" i="1" s="1"/>
  <c r="CN239" i="1"/>
  <c r="CX322" i="1"/>
  <c r="DD322" i="1" s="1"/>
  <c r="H417" i="1"/>
  <c r="BM425" i="1"/>
  <c r="BM437" i="1" s="1"/>
  <c r="CW52" i="1"/>
  <c r="DC52" i="1" s="1"/>
  <c r="CW231" i="1"/>
  <c r="DC231" i="1" s="1"/>
  <c r="BX76" i="1"/>
  <c r="CN323" i="1"/>
  <c r="CK288" i="1"/>
  <c r="CP288" i="1"/>
  <c r="EX438" i="1"/>
  <c r="GR438" i="1" s="1"/>
  <c r="CW28" i="1"/>
  <c r="DC28" i="1" s="1"/>
  <c r="H430" i="1"/>
  <c r="BW423" i="1"/>
  <c r="BW435" i="1" s="1"/>
  <c r="J425" i="1"/>
  <c r="J437" i="1" s="1"/>
  <c r="BY220" i="1"/>
  <c r="BY431" i="1"/>
  <c r="BX126" i="1"/>
  <c r="BK420" i="1"/>
  <c r="X420" i="1" s="1"/>
  <c r="BS420" i="1"/>
  <c r="AB420" i="1" s="1"/>
  <c r="GZ413" i="1"/>
  <c r="DY101" i="1"/>
  <c r="CC15" i="1"/>
  <c r="J415" i="1"/>
  <c r="CN50" i="1"/>
  <c r="CW399" i="1"/>
  <c r="DC399" i="1" s="1"/>
  <c r="EC418" i="1"/>
  <c r="DL399" i="1"/>
  <c r="CX285" i="1"/>
  <c r="DD285" i="1" s="1"/>
  <c r="CW288" i="1"/>
  <c r="DC288" i="1" s="1"/>
  <c r="CW224" i="1"/>
  <c r="DC224" i="1" s="1"/>
  <c r="CJ412" i="1"/>
  <c r="CX28" i="1"/>
  <c r="DL30" i="1"/>
  <c r="CW359" i="1"/>
  <c r="DC359" i="1" s="1"/>
  <c r="CX50" i="1"/>
  <c r="DD50" i="1" s="1"/>
  <c r="CW266" i="1"/>
  <c r="DC266" i="1" s="1"/>
  <c r="CX254" i="1"/>
  <c r="DA254" i="1" s="1"/>
  <c r="CW222" i="1"/>
  <c r="DC222" i="1" s="1"/>
  <c r="CX26" i="1"/>
  <c r="CX223" i="1"/>
  <c r="DD223" i="1" s="1"/>
  <c r="CX288" i="1"/>
  <c r="DD288" i="1" s="1"/>
  <c r="DJ28" i="1"/>
  <c r="CW54" i="1"/>
  <c r="DC54" i="1" s="1"/>
  <c r="CX30" i="1"/>
  <c r="DD30" i="1" s="1"/>
  <c r="D432" i="1"/>
  <c r="EQ375" i="1"/>
  <c r="GP419" i="1"/>
  <c r="GZ417" i="1"/>
  <c r="BX375" i="1"/>
  <c r="DY438" i="1"/>
  <c r="CB334" i="1"/>
  <c r="FW417" i="1"/>
  <c r="FX417" i="1" s="1"/>
  <c r="FL272" i="1"/>
  <c r="FV418" i="1"/>
  <c r="FV428" i="1" s="1"/>
  <c r="DY257" i="1"/>
  <c r="DY220" i="1"/>
  <c r="DE464" i="1"/>
  <c r="DY424" i="1"/>
  <c r="CC138" i="1"/>
  <c r="GZ419" i="1"/>
  <c r="AY418" i="1"/>
  <c r="AY447" i="1" s="1"/>
  <c r="DY417" i="1"/>
  <c r="BY76" i="1"/>
  <c r="BX430" i="1"/>
  <c r="CQ430" i="1" s="1"/>
  <c r="CC76" i="1"/>
  <c r="DY65" i="1"/>
  <c r="GQ430" i="1"/>
  <c r="H424" i="1"/>
  <c r="H436" i="1" s="1"/>
  <c r="GZ7" i="1"/>
  <c r="DL55" i="1"/>
  <c r="CX53" i="1"/>
  <c r="DJ50" i="1"/>
  <c r="F417" i="1"/>
  <c r="CW163" i="1"/>
  <c r="DC163" i="1" s="1"/>
  <c r="CU9" i="1"/>
  <c r="GZ420" i="1"/>
  <c r="DL54" i="1"/>
  <c r="CW223" i="1"/>
  <c r="DC223" i="1" s="1"/>
  <c r="CW225" i="1"/>
  <c r="DC225" i="1" s="1"/>
  <c r="CW230" i="1"/>
  <c r="DC230" i="1" s="1"/>
  <c r="DJ359" i="1"/>
  <c r="CW53" i="1"/>
  <c r="DC53" i="1" s="1"/>
  <c r="CD411" i="1"/>
  <c r="CC430" i="1"/>
  <c r="DL230" i="1"/>
  <c r="CX266" i="1"/>
  <c r="DD266" i="1" s="1"/>
  <c r="CD437" i="1"/>
  <c r="CP437" i="1" s="1"/>
  <c r="CX55" i="1"/>
  <c r="DD55" i="1" s="1"/>
  <c r="CB15" i="1"/>
  <c r="CD430" i="1"/>
  <c r="CP430" i="1" s="1"/>
  <c r="GF418" i="1"/>
  <c r="GH418" i="1" s="1"/>
  <c r="BZ411" i="1"/>
  <c r="BY411" i="1"/>
  <c r="H425" i="1"/>
  <c r="H437" i="1" s="1"/>
  <c r="DZ423" i="1"/>
  <c r="DY313" i="1"/>
  <c r="DY375" i="1"/>
  <c r="EA420" i="1"/>
  <c r="DZ420" i="1"/>
  <c r="DY138" i="1"/>
  <c r="CJ419" i="1"/>
  <c r="BT431" i="1"/>
  <c r="CJ431" i="1" s="1"/>
  <c r="CJ445" i="1" s="1"/>
  <c r="CI419" i="1"/>
  <c r="BP431" i="1"/>
  <c r="CI431" i="1" s="1"/>
  <c r="CI445" i="1" s="1"/>
  <c r="BX334" i="1"/>
  <c r="CW326" i="1"/>
  <c r="DC326" i="1" s="1"/>
  <c r="BU425" i="1"/>
  <c r="BU437" i="1" s="1"/>
  <c r="BU443" i="1" s="1"/>
  <c r="BX15" i="1"/>
  <c r="BV415" i="1"/>
  <c r="CG415" i="1" s="1"/>
  <c r="J416" i="1"/>
  <c r="BW53" i="1"/>
  <c r="CS53" i="1" s="1"/>
  <c r="BZ431" i="1"/>
  <c r="CO431" i="1" s="1"/>
  <c r="CO445" i="1" s="1"/>
  <c r="BX138" i="1"/>
  <c r="CX231" i="1"/>
  <c r="BX220" i="1"/>
  <c r="DJ417" i="1"/>
  <c r="H420" i="1"/>
  <c r="H432" i="1" s="1"/>
  <c r="L425" i="1"/>
  <c r="L437" i="1" s="1"/>
  <c r="F415" i="1"/>
  <c r="CW30" i="1"/>
  <c r="DC30" i="1" s="1"/>
  <c r="BY40" i="1"/>
  <c r="CX54" i="1"/>
  <c r="DD54" i="1" s="1"/>
  <c r="CC257" i="1"/>
  <c r="CX399" i="1"/>
  <c r="CX163" i="1"/>
  <c r="DD163" i="1" s="1"/>
  <c r="BN431" i="1"/>
  <c r="CE431" i="1" s="1"/>
  <c r="CE445" i="1" s="1"/>
  <c r="CA30" i="1"/>
  <c r="CC431" i="1"/>
  <c r="CD431" i="1"/>
  <c r="CP431" i="1" s="1"/>
  <c r="CP445" i="1" s="1"/>
  <c r="CP53" i="1"/>
  <c r="BW50" i="1"/>
  <c r="CS50" i="1" s="1"/>
  <c r="CN231" i="1"/>
  <c r="CV231" i="1" s="1"/>
  <c r="CW322" i="1"/>
  <c r="DC322" i="1" s="1"/>
  <c r="CB348" i="1"/>
  <c r="DJ30" i="1"/>
  <c r="DL225" i="1"/>
  <c r="CR283" i="1"/>
  <c r="D425" i="1"/>
  <c r="D437" i="1" s="1"/>
  <c r="CN322" i="1"/>
  <c r="F430" i="1"/>
  <c r="H438" i="1"/>
  <c r="CX326" i="1"/>
  <c r="DD326" i="1" s="1"/>
  <c r="BQ425" i="1"/>
  <c r="BQ437" i="1" s="1"/>
  <c r="EA423" i="1"/>
  <c r="BY15" i="1"/>
  <c r="K416" i="1"/>
  <c r="CW285" i="1"/>
  <c r="DC285" i="1" s="1"/>
  <c r="G420" i="1"/>
  <c r="G432" i="1" s="1"/>
  <c r="CB430" i="1"/>
  <c r="CR430" i="1" s="1"/>
  <c r="CA50" i="1"/>
  <c r="CT50" i="1" s="1"/>
  <c r="CC432" i="1"/>
  <c r="BR415" i="1"/>
  <c r="CF415" i="1" s="1"/>
  <c r="L415" i="1"/>
  <c r="DY76" i="1"/>
  <c r="DK424" i="1"/>
  <c r="DK436" i="1" s="1"/>
  <c r="F419" i="1"/>
  <c r="F431" i="1" s="1"/>
  <c r="CX267" i="1"/>
  <c r="BO420" i="1"/>
  <c r="BO432" i="1" s="1"/>
  <c r="DY7" i="1"/>
  <c r="EE424" i="1"/>
  <c r="BZ430" i="1"/>
  <c r="CO430" i="1" s="1"/>
  <c r="L416" i="1"/>
  <c r="CN54" i="1"/>
  <c r="K415" i="1"/>
  <c r="CN223" i="1"/>
  <c r="CC313" i="1"/>
  <c r="DY425" i="1"/>
  <c r="DW437" i="1"/>
  <c r="DY437" i="1" s="1"/>
  <c r="FC416" i="1"/>
  <c r="FA416" i="1"/>
  <c r="CP52" i="1"/>
  <c r="BN425" i="1"/>
  <c r="BN437" i="1" s="1"/>
  <c r="CE437" i="1" s="1"/>
  <c r="BV425" i="1"/>
  <c r="CG425" i="1" s="1"/>
  <c r="CG423" i="1" s="1"/>
  <c r="CA397" i="1"/>
  <c r="CT397" i="1" s="1"/>
  <c r="BW26" i="1"/>
  <c r="CS26" i="1" s="1"/>
  <c r="BR425" i="1"/>
  <c r="CN26" i="1"/>
  <c r="CP50" i="1"/>
  <c r="BY138" i="1"/>
  <c r="CN397" i="1"/>
  <c r="FX65" i="1"/>
  <c r="CA420" i="1"/>
  <c r="DW432" i="1"/>
  <c r="DY432" i="1" s="1"/>
  <c r="DY420" i="1"/>
  <c r="BX435" i="1"/>
  <c r="CQ435" i="1" s="1"/>
  <c r="CQ423" i="1"/>
  <c r="BK424" i="1"/>
  <c r="BK436" i="1" s="1"/>
  <c r="BO424" i="1"/>
  <c r="BO436" i="1" s="1"/>
  <c r="Z436" i="1" s="1"/>
  <c r="M430" i="1"/>
  <c r="GY15" i="1"/>
  <c r="GZ15" i="1" s="1"/>
  <c r="GA29" i="1"/>
  <c r="GJ29" i="1"/>
  <c r="FW29" i="1"/>
  <c r="FX29" i="1" s="1"/>
  <c r="FX15" i="1" s="1"/>
  <c r="H416" i="1"/>
  <c r="EE420" i="1"/>
  <c r="G425" i="1"/>
  <c r="G437" i="1" s="1"/>
  <c r="CB431" i="1"/>
  <c r="CR431" i="1" s="1"/>
  <c r="CR445" i="1" s="1"/>
  <c r="CO52" i="1"/>
  <c r="CO53" i="1"/>
  <c r="FW40" i="1"/>
  <c r="FX40" i="1"/>
  <c r="EO40" i="1"/>
  <c r="EQ40" i="1" s="1"/>
  <c r="CM71" i="1"/>
  <c r="CN71" i="1"/>
  <c r="EO65" i="1"/>
  <c r="EQ65" i="1" s="1"/>
  <c r="CT112" i="1"/>
  <c r="CU112" i="1"/>
  <c r="CV112" i="1" s="1"/>
  <c r="CS112" i="1"/>
  <c r="EO117" i="1"/>
  <c r="EQ117" i="1" s="1"/>
  <c r="CP206" i="1"/>
  <c r="CO206" i="1"/>
  <c r="CA239" i="1"/>
  <c r="FZ420" i="1"/>
  <c r="GC420" i="1" s="1"/>
  <c r="EO209" i="1"/>
  <c r="EQ209" i="1" s="1"/>
  <c r="EO220" i="1"/>
  <c r="EQ220" i="1" s="1"/>
  <c r="EQ283" i="1"/>
  <c r="EN419" i="1"/>
  <c r="EQ322" i="1"/>
  <c r="EO313" i="1"/>
  <c r="EO417" i="1"/>
  <c r="FK313" i="1"/>
  <c r="FK417" i="1"/>
  <c r="FK418" i="1" s="1"/>
  <c r="FK428" i="1" s="1"/>
  <c r="EO272" i="1"/>
  <c r="EU322" i="1"/>
  <c r="ES322" i="1"/>
  <c r="GB419" i="1"/>
  <c r="GD419" i="1" s="1"/>
  <c r="CN359" i="1"/>
  <c r="CK359" i="1"/>
  <c r="EO348" i="1"/>
  <c r="EQ348" i="1" s="1"/>
  <c r="BX364" i="1"/>
  <c r="CA359" i="1"/>
  <c r="EX417" i="1"/>
  <c r="GX438" i="1"/>
  <c r="EA417" i="1"/>
  <c r="FV443" i="1"/>
  <c r="FW443" i="1"/>
  <c r="BW425" i="1"/>
  <c r="BS412" i="1"/>
  <c r="CM9" i="1"/>
  <c r="CW400" i="1"/>
  <c r="CW241" i="1"/>
  <c r="DC241" i="1" s="1"/>
  <c r="CX241" i="1"/>
  <c r="CX206" i="1"/>
  <c r="CW110" i="1"/>
  <c r="DC110" i="1" s="1"/>
  <c r="BR416" i="1"/>
  <c r="CF416" i="1" s="1"/>
  <c r="BZ435" i="1"/>
  <c r="CO435" i="1" s="1"/>
  <c r="CO423" i="1"/>
  <c r="F425" i="1"/>
  <c r="F437" i="1" s="1"/>
  <c r="BQ430" i="1"/>
  <c r="DE463" i="1"/>
  <c r="DE450" i="1"/>
  <c r="DE451" i="1" s="1"/>
  <c r="BW28" i="1"/>
  <c r="CS28" i="1" s="1"/>
  <c r="CB126" i="1"/>
  <c r="BV430" i="1"/>
  <c r="CG430" i="1" s="1"/>
  <c r="BW415" i="1"/>
  <c r="CS415" i="1" s="1"/>
  <c r="CA415" i="1"/>
  <c r="CK26" i="1"/>
  <c r="EO15" i="1"/>
  <c r="EQ15" i="1" s="1"/>
  <c r="CB432" i="1"/>
  <c r="CR432" i="1" s="1"/>
  <c r="CA54" i="1"/>
  <c r="CT54" i="1" s="1"/>
  <c r="M432" i="1"/>
  <c r="BR432" i="1"/>
  <c r="CF432" i="1" s="1"/>
  <c r="BX436" i="1"/>
  <c r="CQ436" i="1" s="1"/>
  <c r="BW55" i="1"/>
  <c r="BY436" i="1"/>
  <c r="CQ55" i="1"/>
  <c r="BN436" i="1"/>
  <c r="CE436" i="1" s="1"/>
  <c r="BV436" i="1"/>
  <c r="CG436" i="1" s="1"/>
  <c r="GA86" i="1"/>
  <c r="GY424" i="1"/>
  <c r="GZ424" i="1" s="1"/>
  <c r="BZ437" i="1"/>
  <c r="CO437" i="1" s="1"/>
  <c r="CD432" i="1"/>
  <c r="CP432" i="1" s="1"/>
  <c r="CD436" i="1"/>
  <c r="CP436" i="1" s="1"/>
  <c r="EO86" i="1"/>
  <c r="EQ86" i="1" s="1"/>
  <c r="GA117" i="1"/>
  <c r="EO126" i="1"/>
  <c r="EQ126" i="1" s="1"/>
  <c r="CL231" i="1"/>
  <c r="CO197" i="1"/>
  <c r="GZ272" i="1"/>
  <c r="FW138" i="1"/>
  <c r="EO184" i="1"/>
  <c r="EQ184" i="1" s="1"/>
  <c r="FY184" i="1"/>
  <c r="CT199" i="1"/>
  <c r="CU199" i="1"/>
  <c r="CU222" i="1"/>
  <c r="CK223" i="1"/>
  <c r="CN225" i="1"/>
  <c r="CN227" i="1"/>
  <c r="CN230" i="1"/>
  <c r="CU241" i="1"/>
  <c r="CV241" i="1" s="1"/>
  <c r="BW283" i="1"/>
  <c r="CS283" i="1" s="1"/>
  <c r="CQ283" i="1"/>
  <c r="DY299" i="1"/>
  <c r="M445" i="1"/>
  <c r="BW323" i="1"/>
  <c r="CS323" i="1" s="1"/>
  <c r="CK325" i="1"/>
  <c r="CN325" i="1"/>
  <c r="GZ348" i="1"/>
  <c r="EO257" i="1"/>
  <c r="EQ257" i="1" s="1"/>
  <c r="DY272" i="1"/>
  <c r="EN272" i="1"/>
  <c r="EO299" i="1"/>
  <c r="EQ299" i="1" s="1"/>
  <c r="EO334" i="1"/>
  <c r="EQ334" i="1" s="1"/>
  <c r="DY334" i="1"/>
  <c r="FY334" i="1"/>
  <c r="FY438" i="1"/>
  <c r="GC438" i="1" s="1"/>
  <c r="DZ412" i="1"/>
  <c r="EA412" i="1"/>
  <c r="ED428" i="1"/>
  <c r="ED418" i="1"/>
  <c r="BZ438" i="1"/>
  <c r="CO438" i="1" s="1"/>
  <c r="CD438" i="1"/>
  <c r="CP438" i="1" s="1"/>
  <c r="BN415" i="1"/>
  <c r="CE415" i="1" s="1"/>
  <c r="BX86" i="1"/>
  <c r="EQ435" i="1"/>
  <c r="CN224" i="1"/>
  <c r="FY423" i="1"/>
  <c r="GC423" i="1" s="1"/>
  <c r="BN416" i="1"/>
  <c r="CE416" i="1" s="1"/>
  <c r="J430" i="1"/>
  <c r="BO412" i="1"/>
  <c r="CL9" i="1"/>
  <c r="G438" i="1"/>
  <c r="FX412" i="1"/>
  <c r="BW420" i="1"/>
  <c r="CS420" i="1" s="1"/>
  <c r="DW435" i="1"/>
  <c r="DY435" i="1" s="1"/>
  <c r="DY423" i="1"/>
  <c r="BS424" i="1"/>
  <c r="F416" i="1"/>
  <c r="GD412" i="1"/>
  <c r="GX412" i="1"/>
  <c r="GX418" i="1" s="1"/>
  <c r="DJ424" i="1"/>
  <c r="DJ436" i="1" s="1"/>
  <c r="BL425" i="1"/>
  <c r="BP425" i="1"/>
  <c r="BT425" i="1"/>
  <c r="BT411" i="1" s="1"/>
  <c r="EO7" i="1"/>
  <c r="EQ7" i="1" s="1"/>
  <c r="CA26" i="1"/>
  <c r="CQ26" i="1"/>
  <c r="M431" i="1"/>
  <c r="BX431" i="1"/>
  <c r="CQ431" i="1" s="1"/>
  <c r="CQ445" i="1" s="1"/>
  <c r="CK30" i="1"/>
  <c r="CN30" i="1"/>
  <c r="CN52" i="1"/>
  <c r="CL52" i="1"/>
  <c r="CA53" i="1"/>
  <c r="BL432" i="1"/>
  <c r="CH432" i="1" s="1"/>
  <c r="BP432" i="1"/>
  <c r="CI432" i="1" s="1"/>
  <c r="BT432" i="1"/>
  <c r="CJ432" i="1" s="1"/>
  <c r="CN55" i="1"/>
  <c r="CM55" i="1"/>
  <c r="BL436" i="1"/>
  <c r="CH436" i="1" s="1"/>
  <c r="BP436" i="1"/>
  <c r="CI436" i="1" s="1"/>
  <c r="BT436" i="1"/>
  <c r="CJ436" i="1" s="1"/>
  <c r="FV101" i="1"/>
  <c r="FV138" i="1"/>
  <c r="EO101" i="1"/>
  <c r="EQ101" i="1" s="1"/>
  <c r="CU206" i="1"/>
  <c r="CS206" i="1"/>
  <c r="CT206" i="1"/>
  <c r="BW239" i="1"/>
  <c r="CS239" i="1" s="1"/>
  <c r="CT163" i="1"/>
  <c r="CU163" i="1"/>
  <c r="CV163" i="1" s="1"/>
  <c r="FL184" i="1"/>
  <c r="DY209" i="1"/>
  <c r="CB220" i="1"/>
  <c r="CN283" i="1"/>
  <c r="CK283" i="1"/>
  <c r="FY299" i="1"/>
  <c r="FL322" i="1"/>
  <c r="FJ313" i="1"/>
  <c r="FJ417" i="1"/>
  <c r="FJ418" i="1" s="1"/>
  <c r="FJ428" i="1" s="1"/>
  <c r="EN313" i="1"/>
  <c r="EN417" i="1"/>
  <c r="EN418" i="1" s="1"/>
  <c r="FZ417" i="1"/>
  <c r="BK417" i="1"/>
  <c r="X417" i="1" s="1"/>
  <c r="EC428" i="1"/>
  <c r="EO441" i="1"/>
  <c r="GZ375" i="1"/>
  <c r="BW359" i="1"/>
  <c r="CS359" i="1" s="1"/>
  <c r="DW430" i="1"/>
  <c r="DW418" i="1"/>
  <c r="DY412" i="1"/>
  <c r="EO364" i="1"/>
  <c r="EQ364" i="1" s="1"/>
  <c r="CB375" i="1"/>
  <c r="EL417" i="1"/>
  <c r="ES397" i="1"/>
  <c r="EU397" i="1"/>
  <c r="CS400" i="1"/>
  <c r="CU400" i="1"/>
  <c r="GY438" i="1"/>
  <c r="DZ417" i="1"/>
  <c r="EY417" i="1"/>
  <c r="BK412" i="1"/>
  <c r="CN9" i="1"/>
  <c r="CK9" i="1"/>
  <c r="CX400" i="1"/>
  <c r="CW206" i="1"/>
  <c r="DC206" i="1" s="1"/>
  <c r="CX110" i="1"/>
  <c r="CA416" i="1"/>
  <c r="CA412" i="1"/>
  <c r="CB411" i="1"/>
  <c r="DD412" i="1"/>
  <c r="DA412" i="1"/>
  <c r="G416" i="1"/>
  <c r="CC411" i="1"/>
  <c r="G424" i="1"/>
  <c r="G436" i="1" s="1"/>
  <c r="K430" i="1"/>
  <c r="BY430" i="1"/>
  <c r="DJ420" i="1"/>
  <c r="DJ432" i="1" s="1"/>
  <c r="CA28" i="1"/>
  <c r="CQ28" i="1"/>
  <c r="CR412" i="1"/>
  <c r="BW416" i="1"/>
  <c r="CS416" i="1" s="1"/>
  <c r="BW412" i="1"/>
  <c r="BX411" i="1"/>
  <c r="CB435" i="1"/>
  <c r="CR435" i="1" s="1"/>
  <c r="CR423" i="1"/>
  <c r="EE423" i="1"/>
  <c r="BR430" i="1"/>
  <c r="CF430" i="1" s="1"/>
  <c r="EQ438" i="1"/>
  <c r="D415" i="1"/>
  <c r="FW419" i="1"/>
  <c r="FX419" i="1" s="1"/>
  <c r="DY15" i="1"/>
  <c r="M444" i="1"/>
  <c r="M438" i="1"/>
  <c r="BX40" i="1"/>
  <c r="CB40" i="1"/>
  <c r="CK53" i="1"/>
  <c r="CN53" i="1"/>
  <c r="BX432" i="1"/>
  <c r="CQ432" i="1" s="1"/>
  <c r="BW54" i="1"/>
  <c r="CR54" i="1"/>
  <c r="BY432" i="1"/>
  <c r="CQ54" i="1"/>
  <c r="BN432" i="1"/>
  <c r="CE432" i="1" s="1"/>
  <c r="BV432" i="1"/>
  <c r="CG432" i="1" s="1"/>
  <c r="CB436" i="1"/>
  <c r="CR436" i="1" s="1"/>
  <c r="CA55" i="1"/>
  <c r="M436" i="1"/>
  <c r="CC436" i="1"/>
  <c r="BR436" i="1"/>
  <c r="CF436" i="1" s="1"/>
  <c r="BX65" i="1"/>
  <c r="BU411" i="1"/>
  <c r="BQ416" i="1"/>
  <c r="BM416" i="1"/>
  <c r="E416" i="1"/>
  <c r="DY117" i="1"/>
  <c r="DY126" i="1"/>
  <c r="BZ432" i="1"/>
  <c r="CO432" i="1" s="1"/>
  <c r="CP54" i="1"/>
  <c r="CO54" i="1"/>
  <c r="BZ436" i="1"/>
  <c r="CO436" i="1" s="1"/>
  <c r="CP55" i="1"/>
  <c r="CO55" i="1"/>
  <c r="EO76" i="1"/>
  <c r="EQ76" i="1" s="1"/>
  <c r="FY86" i="1"/>
  <c r="FY313" i="1"/>
  <c r="EO138" i="1"/>
  <c r="EQ138" i="1" s="1"/>
  <c r="DY184" i="1"/>
  <c r="CT195" i="1"/>
  <c r="CN228" i="1"/>
  <c r="CK228" i="1"/>
  <c r="CT254" i="1"/>
  <c r="CU254" i="1"/>
  <c r="CV254" i="1" s="1"/>
  <c r="EO247" i="1"/>
  <c r="EQ247" i="1" s="1"/>
  <c r="BX257" i="1"/>
  <c r="CA283" i="1"/>
  <c r="CN285" i="1"/>
  <c r="CK285" i="1"/>
  <c r="GY313" i="1"/>
  <c r="GZ313" i="1" s="1"/>
  <c r="CA323" i="1"/>
  <c r="CT323" i="1" s="1"/>
  <c r="CU267" i="1"/>
  <c r="CV267" i="1" s="1"/>
  <c r="CS267" i="1"/>
  <c r="CN282" i="1"/>
  <c r="CK282" i="1"/>
  <c r="CK287" i="1"/>
  <c r="CN287" i="1"/>
  <c r="DY348" i="1"/>
  <c r="BW419" i="1"/>
  <c r="CS419" i="1" s="1"/>
  <c r="CA419" i="1"/>
  <c r="EY412" i="1"/>
  <c r="EX412" i="1"/>
  <c r="DV467" i="1"/>
  <c r="DW467" i="1" s="1"/>
  <c r="DV451" i="1"/>
  <c r="DV430" i="1"/>
  <c r="DV443" i="1" s="1"/>
  <c r="DV447" i="1" s="1"/>
  <c r="DV418" i="1"/>
  <c r="DV453" i="1" s="1"/>
  <c r="FY364" i="1"/>
  <c r="CS399" i="1"/>
  <c r="CU399" i="1"/>
  <c r="DE465" i="1"/>
  <c r="FY427" i="1"/>
  <c r="FV7" i="1"/>
  <c r="L430" i="1"/>
  <c r="EQ423" i="1"/>
  <c r="CN222" i="1"/>
  <c r="CN226" i="1"/>
  <c r="BN430" i="1"/>
  <c r="CE430" i="1" s="1"/>
  <c r="CU417" i="1" l="1"/>
  <c r="BW438" i="1"/>
  <c r="DL417" i="1"/>
  <c r="GI428" i="1"/>
  <c r="CV282" i="1"/>
  <c r="CV227" i="1"/>
  <c r="CV399" i="1"/>
  <c r="CV226" i="1"/>
  <c r="CU326" i="1"/>
  <c r="CV326" i="1" s="1"/>
  <c r="CV400" i="1"/>
  <c r="BS417" i="1"/>
  <c r="AB417" i="1" s="1"/>
  <c r="CT326" i="1"/>
  <c r="GD418" i="1"/>
  <c r="CV325" i="1"/>
  <c r="GZ438" i="1"/>
  <c r="CV9" i="1"/>
  <c r="CT417" i="1"/>
  <c r="CV322" i="1"/>
  <c r="CV225" i="1"/>
  <c r="DA325" i="1"/>
  <c r="DJ431" i="1"/>
  <c r="CV224" i="1"/>
  <c r="CV287" i="1"/>
  <c r="GJ428" i="1"/>
  <c r="CV223" i="1"/>
  <c r="FX76" i="1"/>
  <c r="CF419" i="1"/>
  <c r="FW101" i="1"/>
  <c r="BR411" i="1"/>
  <c r="FX138" i="1"/>
  <c r="CU435" i="1"/>
  <c r="CU110" i="1"/>
  <c r="CV110" i="1" s="1"/>
  <c r="DL416" i="1"/>
  <c r="BO438" i="1"/>
  <c r="CL438" i="1" s="1"/>
  <c r="DL415" i="1"/>
  <c r="CV285" i="1"/>
  <c r="X419" i="1"/>
  <c r="X431" i="1" s="1"/>
  <c r="CT423" i="1"/>
  <c r="CV230" i="1"/>
  <c r="CV71" i="1"/>
  <c r="CG438" i="1"/>
  <c r="CV228" i="1"/>
  <c r="BK438" i="1"/>
  <c r="CH419" i="1"/>
  <c r="BV431" i="1"/>
  <c r="CG431" i="1" s="1"/>
  <c r="CG445" i="1" s="1"/>
  <c r="CF438" i="1"/>
  <c r="CS110" i="1"/>
  <c r="GO428" i="1"/>
  <c r="GA101" i="1"/>
  <c r="DA224" i="1"/>
  <c r="CV206" i="1"/>
  <c r="DA267" i="1"/>
  <c r="BS438" i="1"/>
  <c r="CM438" i="1" s="1"/>
  <c r="DA282" i="1"/>
  <c r="DA266" i="1"/>
  <c r="CU30" i="1"/>
  <c r="CV30" i="1" s="1"/>
  <c r="DA399" i="1"/>
  <c r="DL431" i="1"/>
  <c r="GE428" i="1"/>
  <c r="BO419" i="1"/>
  <c r="Z419" i="1" s="1"/>
  <c r="Z431" i="1" s="1"/>
  <c r="DA323" i="1"/>
  <c r="CU397" i="1"/>
  <c r="CV397" i="1" s="1"/>
  <c r="DA287" i="1"/>
  <c r="CU52" i="1"/>
  <c r="CV52" i="1" s="1"/>
  <c r="CA436" i="1"/>
  <c r="CT436" i="1" s="1"/>
  <c r="DA50" i="1"/>
  <c r="CU424" i="1"/>
  <c r="CV222" i="1"/>
  <c r="DA230" i="1"/>
  <c r="DA26" i="1"/>
  <c r="DK415" i="1"/>
  <c r="CT55" i="1"/>
  <c r="CT425" i="1"/>
  <c r="GA15" i="1"/>
  <c r="GF428" i="1"/>
  <c r="CU288" i="1"/>
  <c r="CV288" i="1" s="1"/>
  <c r="BS432" i="1"/>
  <c r="AB432" i="1" s="1"/>
  <c r="FL313" i="1"/>
  <c r="CU197" i="1"/>
  <c r="CV197" i="1" s="1"/>
  <c r="DA52" i="1"/>
  <c r="BW436" i="1"/>
  <c r="CS436" i="1" s="1"/>
  <c r="BK432" i="1"/>
  <c r="X432" i="1" s="1"/>
  <c r="BO415" i="1"/>
  <c r="Z415" i="1" s="1"/>
  <c r="BS419" i="1"/>
  <c r="AB419" i="1" s="1"/>
  <c r="AB431" i="1" s="1"/>
  <c r="DA283" i="1"/>
  <c r="CU55" i="1"/>
  <c r="CV55" i="1" s="1"/>
  <c r="CS435" i="1"/>
  <c r="CT288" i="1"/>
  <c r="CU53" i="1"/>
  <c r="CV53" i="1" s="1"/>
  <c r="CT30" i="1"/>
  <c r="DD26" i="1"/>
  <c r="CX417" i="1"/>
  <c r="DD417" i="1" s="1"/>
  <c r="DA55" i="1"/>
  <c r="CF425" i="1"/>
  <c r="CF423" i="1" s="1"/>
  <c r="CU50" i="1"/>
  <c r="CV50" i="1" s="1"/>
  <c r="DK420" i="1"/>
  <c r="DK432" i="1" s="1"/>
  <c r="CK420" i="1"/>
  <c r="DA28" i="1"/>
  <c r="BS415" i="1"/>
  <c r="CM415" i="1" s="1"/>
  <c r="CS423" i="1"/>
  <c r="FW15" i="1"/>
  <c r="DD28" i="1"/>
  <c r="DD399" i="1"/>
  <c r="CU423" i="1"/>
  <c r="DD254" i="1"/>
  <c r="CX419" i="1"/>
  <c r="CX431" i="1" s="1"/>
  <c r="DD431" i="1" s="1"/>
  <c r="CN420" i="1"/>
  <c r="EZ438" i="1"/>
  <c r="BY443" i="1"/>
  <c r="CK417" i="1"/>
  <c r="CU283" i="1"/>
  <c r="CV283" i="1" s="1"/>
  <c r="BM411" i="1"/>
  <c r="DA222" i="1"/>
  <c r="DD267" i="1"/>
  <c r="CM420" i="1"/>
  <c r="CW126" i="1"/>
  <c r="DC126" i="1" s="1"/>
  <c r="DJ416" i="1"/>
  <c r="DD53" i="1"/>
  <c r="DA288" i="1"/>
  <c r="DA322" i="1"/>
  <c r="DK416" i="1"/>
  <c r="DA163" i="1"/>
  <c r="BV411" i="1"/>
  <c r="DA53" i="1"/>
  <c r="DA359" i="1"/>
  <c r="Z432" i="1"/>
  <c r="FW418" i="1"/>
  <c r="FX418" i="1" s="1"/>
  <c r="CB444" i="1"/>
  <c r="FY428" i="1"/>
  <c r="FY443" i="1" s="1"/>
  <c r="GO418" i="1"/>
  <c r="CW430" i="1"/>
  <c r="DC430" i="1" s="1"/>
  <c r="CC443" i="1"/>
  <c r="BR437" i="1"/>
  <c r="CF437" i="1" s="1"/>
  <c r="BU428" i="1"/>
  <c r="DJ415" i="1"/>
  <c r="DA285" i="1"/>
  <c r="CX416" i="1"/>
  <c r="DA326" i="1"/>
  <c r="CW415" i="1"/>
  <c r="DC415" i="1" s="1"/>
  <c r="BV437" i="1"/>
  <c r="CG437" i="1" s="1"/>
  <c r="DA30" i="1"/>
  <c r="CU416" i="1"/>
  <c r="DA225" i="1"/>
  <c r="CX65" i="1"/>
  <c r="DD65" i="1" s="1"/>
  <c r="CW417" i="1"/>
  <c r="DC417" i="1" s="1"/>
  <c r="DA223" i="1"/>
  <c r="DL420" i="1"/>
  <c r="DL432" i="1" s="1"/>
  <c r="CX430" i="1"/>
  <c r="DD430" i="1" s="1"/>
  <c r="CX220" i="1"/>
  <c r="DD220" i="1" s="1"/>
  <c r="BW411" i="1"/>
  <c r="CX348" i="1"/>
  <c r="DD348" i="1" s="1"/>
  <c r="DA54" i="1"/>
  <c r="CX184" i="1"/>
  <c r="DD184" i="1" s="1"/>
  <c r="BN411" i="1"/>
  <c r="DL424" i="1"/>
  <c r="DL436" i="1" s="1"/>
  <c r="DD231" i="1"/>
  <c r="CE425" i="1"/>
  <c r="CE423" i="1" s="1"/>
  <c r="CL417" i="1"/>
  <c r="CX126" i="1"/>
  <c r="CX424" i="1"/>
  <c r="CX436" i="1" s="1"/>
  <c r="DD436" i="1" s="1"/>
  <c r="CW419" i="1"/>
  <c r="DC419" i="1" s="1"/>
  <c r="DA231" i="1"/>
  <c r="CW220" i="1"/>
  <c r="DC220" i="1" s="1"/>
  <c r="BQ411" i="1"/>
  <c r="CW364" i="1"/>
  <c r="DC364" i="1" s="1"/>
  <c r="DK425" i="1"/>
  <c r="DK437" i="1" s="1"/>
  <c r="CX7" i="1"/>
  <c r="DD7" i="1" s="1"/>
  <c r="CW416" i="1"/>
  <c r="DC416" i="1" s="1"/>
  <c r="CX415" i="1"/>
  <c r="CX420" i="1"/>
  <c r="DD420" i="1" s="1"/>
  <c r="CS55" i="1"/>
  <c r="CX15" i="1"/>
  <c r="DD15" i="1" s="1"/>
  <c r="CX101" i="1"/>
  <c r="DD101" i="1" s="1"/>
  <c r="CX209" i="1"/>
  <c r="DD209" i="1" s="1"/>
  <c r="CW420" i="1"/>
  <c r="DC420" i="1" s="1"/>
  <c r="Z420" i="1"/>
  <c r="CL420" i="1"/>
  <c r="BW432" i="1"/>
  <c r="CS432" i="1" s="1"/>
  <c r="CA430" i="1"/>
  <c r="CT430" i="1" s="1"/>
  <c r="BS425" i="1"/>
  <c r="BS437" i="1" s="1"/>
  <c r="DL425" i="1"/>
  <c r="DL437" i="1" s="1"/>
  <c r="BK425" i="1"/>
  <c r="BK411" i="1" s="1"/>
  <c r="DJ425" i="1"/>
  <c r="DJ437" i="1" s="1"/>
  <c r="CW334" i="1"/>
  <c r="DC334" i="1" s="1"/>
  <c r="EQ272" i="1"/>
  <c r="BX443" i="1"/>
  <c r="BX444" i="1"/>
  <c r="CB443" i="1"/>
  <c r="CW438" i="1"/>
  <c r="DC438" i="1" s="1"/>
  <c r="FZ138" i="1"/>
  <c r="GC138" i="1" s="1"/>
  <c r="D416" i="1"/>
  <c r="BK416" i="1"/>
  <c r="BL416" i="1"/>
  <c r="CH416" i="1" s="1"/>
  <c r="BS416" i="1"/>
  <c r="BT416" i="1"/>
  <c r="CJ416" i="1" s="1"/>
  <c r="CS438" i="1"/>
  <c r="CW117" i="1"/>
  <c r="DC117" i="1" s="1"/>
  <c r="CW299" i="1"/>
  <c r="DC299" i="1" s="1"/>
  <c r="DA400" i="1"/>
  <c r="DD400" i="1"/>
  <c r="CX435" i="1"/>
  <c r="X412" i="1"/>
  <c r="CK412" i="1"/>
  <c r="CN412" i="1"/>
  <c r="EU417" i="1"/>
  <c r="EM1" i="1"/>
  <c r="EN1" i="1" s="1"/>
  <c r="EL418" i="1"/>
  <c r="DY430" i="1"/>
  <c r="DW443" i="1"/>
  <c r="BW431" i="1"/>
  <c r="CS431" i="1" s="1"/>
  <c r="CS445" i="1" s="1"/>
  <c r="BP437" i="1"/>
  <c r="CI437" i="1" s="1"/>
  <c r="CI425" i="1"/>
  <c r="CI423" i="1" s="1"/>
  <c r="AB424" i="1"/>
  <c r="CM424" i="1"/>
  <c r="GZ412" i="1"/>
  <c r="CX313" i="1"/>
  <c r="Z412" i="1"/>
  <c r="CL412" i="1"/>
  <c r="CX138" i="1"/>
  <c r="CX334" i="1"/>
  <c r="GK444" i="1"/>
  <c r="GP418" i="1"/>
  <c r="BK430" i="1"/>
  <c r="FZ427" i="1"/>
  <c r="FZ375" i="1"/>
  <c r="GC375" i="1" s="1"/>
  <c r="CA438" i="1"/>
  <c r="CT438" i="1" s="1"/>
  <c r="DZ418" i="1"/>
  <c r="FZ334" i="1"/>
  <c r="GC334" i="1" s="1"/>
  <c r="FZ257" i="1"/>
  <c r="GC257" i="1" s="1"/>
  <c r="CW184" i="1"/>
  <c r="DC184" i="1" s="1"/>
  <c r="FZ126" i="1"/>
  <c r="GC126" i="1" s="1"/>
  <c r="GA126" i="1"/>
  <c r="FZ86" i="1"/>
  <c r="GC86" i="1" s="1"/>
  <c r="CX86" i="1"/>
  <c r="CW86" i="1"/>
  <c r="DC86" i="1" s="1"/>
  <c r="CU54" i="1"/>
  <c r="CV54" i="1" s="1"/>
  <c r="CA432" i="1"/>
  <c r="CT432" i="1" s="1"/>
  <c r="CT53" i="1"/>
  <c r="BK415" i="1"/>
  <c r="X415" i="1" s="1"/>
  <c r="CW15" i="1"/>
  <c r="DC15" i="1" s="1"/>
  <c r="CW209" i="1"/>
  <c r="DC209" i="1" s="1"/>
  <c r="CW76" i="1"/>
  <c r="DC76" i="1" s="1"/>
  <c r="DD241" i="1"/>
  <c r="DA241" i="1"/>
  <c r="CW247" i="1"/>
  <c r="DC247" i="1" s="1"/>
  <c r="AB412" i="1"/>
  <c r="CM412" i="1"/>
  <c r="BW437" i="1"/>
  <c r="CS425" i="1"/>
  <c r="CU359" i="1"/>
  <c r="CV359" i="1" s="1"/>
  <c r="CT359" i="1"/>
  <c r="FZ313" i="1"/>
  <c r="GC313" i="1" s="1"/>
  <c r="FZ272" i="1"/>
  <c r="GC272" i="1" s="1"/>
  <c r="EQ313" i="1"/>
  <c r="EN431" i="1"/>
  <c r="EQ431" i="1" s="1"/>
  <c r="EQ419" i="1"/>
  <c r="CX272" i="1"/>
  <c r="CW257" i="1"/>
  <c r="DC257" i="1" s="1"/>
  <c r="FZ209" i="1"/>
  <c r="GC209" i="1" s="1"/>
  <c r="FZ117" i="1"/>
  <c r="GC117" i="1" s="1"/>
  <c r="CW101" i="1"/>
  <c r="DC101" i="1" s="1"/>
  <c r="BS436" i="1"/>
  <c r="BK448" i="1" s="1"/>
  <c r="X436" i="1"/>
  <c r="CL432" i="1"/>
  <c r="CA431" i="1"/>
  <c r="CT431" i="1" s="1"/>
  <c r="CT445" i="1" s="1"/>
  <c r="BO425" i="1"/>
  <c r="CT416" i="1"/>
  <c r="X424" i="1"/>
  <c r="CN424" i="1"/>
  <c r="CK424" i="1"/>
  <c r="CS412" i="1"/>
  <c r="FC412" i="1"/>
  <c r="EY418" i="1"/>
  <c r="EY419" i="1" s="1"/>
  <c r="EY420" i="1" s="1"/>
  <c r="FA412" i="1"/>
  <c r="CU323" i="1"/>
  <c r="CV323" i="1" s="1"/>
  <c r="BK431" i="1"/>
  <c r="CW375" i="1"/>
  <c r="FZ364" i="1"/>
  <c r="GC364" i="1" s="1"/>
  <c r="EQ441" i="1"/>
  <c r="EO426" i="1"/>
  <c r="FZ101" i="1"/>
  <c r="GC101" i="1" s="1"/>
  <c r="BP411" i="1"/>
  <c r="FX101" i="1"/>
  <c r="CX438" i="1"/>
  <c r="EX418" i="1"/>
  <c r="EX419" i="1" s="1"/>
  <c r="FB412" i="1"/>
  <c r="CU419" i="1"/>
  <c r="CT419" i="1"/>
  <c r="CT283" i="1"/>
  <c r="FZ247" i="1"/>
  <c r="GC247" i="1" s="1"/>
  <c r="FZ76" i="1"/>
  <c r="GC76" i="1" s="1"/>
  <c r="BO416" i="1"/>
  <c r="BP416" i="1"/>
  <c r="CI416" i="1" s="1"/>
  <c r="CT28" i="1"/>
  <c r="CU28" i="1"/>
  <c r="CV28" i="1" s="1"/>
  <c r="CX425" i="1"/>
  <c r="CW425" i="1"/>
  <c r="CA411" i="1"/>
  <c r="CX76" i="1"/>
  <c r="DA110" i="1"/>
  <c r="DD110" i="1"/>
  <c r="CX247" i="1"/>
  <c r="FC417" i="1"/>
  <c r="FA417" i="1"/>
  <c r="ES417" i="1"/>
  <c r="DW453" i="1"/>
  <c r="DY418" i="1"/>
  <c r="FZ426" i="1"/>
  <c r="GC426" i="1" s="1"/>
  <c r="CK419" i="1"/>
  <c r="GC417" i="1"/>
  <c r="FZ418" i="1"/>
  <c r="GC418" i="1" s="1"/>
  <c r="EN430" i="1"/>
  <c r="EN428" i="1"/>
  <c r="EN443" i="1" s="1"/>
  <c r="EN445" i="1" s="1"/>
  <c r="CW272" i="1"/>
  <c r="DC272" i="1" s="1"/>
  <c r="CX257" i="1"/>
  <c r="FV117" i="1"/>
  <c r="FW184" i="1"/>
  <c r="CU26" i="1"/>
  <c r="CV26" i="1" s="1"/>
  <c r="CT26" i="1"/>
  <c r="FZ7" i="1"/>
  <c r="GC7" i="1" s="1"/>
  <c r="BT437" i="1"/>
  <c r="CJ437" i="1" s="1"/>
  <c r="CJ425" i="1"/>
  <c r="CJ423" i="1" s="1"/>
  <c r="BL437" i="1"/>
  <c r="CH437" i="1" s="1"/>
  <c r="CH425" i="1"/>
  <c r="CH423" i="1" s="1"/>
  <c r="FW117" i="1"/>
  <c r="CW65" i="1"/>
  <c r="DC65" i="1" s="1"/>
  <c r="GZ418" i="1"/>
  <c r="CW138" i="1"/>
  <c r="DC138" i="1" s="1"/>
  <c r="BO430" i="1"/>
  <c r="CW313" i="1"/>
  <c r="DC313" i="1" s="1"/>
  <c r="BS430" i="1"/>
  <c r="CX364" i="1"/>
  <c r="CW348" i="1"/>
  <c r="DC348" i="1" s="1"/>
  <c r="FZ299" i="1"/>
  <c r="GC299" i="1" s="1"/>
  <c r="FZ65" i="1"/>
  <c r="GC65" i="1" s="1"/>
  <c r="CS54" i="1"/>
  <c r="CX40" i="1"/>
  <c r="CW40" i="1"/>
  <c r="DC40" i="1" s="1"/>
  <c r="FZ15" i="1"/>
  <c r="GC15" i="1" s="1"/>
  <c r="CU415" i="1"/>
  <c r="CT415" i="1"/>
  <c r="CX375" i="1"/>
  <c r="CX117" i="1"/>
  <c r="DA206" i="1"/>
  <c r="DD206" i="1"/>
  <c r="CX299" i="1"/>
  <c r="DC400" i="1"/>
  <c r="CW435" i="1"/>
  <c r="EA418" i="1"/>
  <c r="FB417" i="1"/>
  <c r="FZ348" i="1"/>
  <c r="GC348" i="1" s="1"/>
  <c r="EQ417" i="1"/>
  <c r="EO418" i="1"/>
  <c r="FZ220" i="1"/>
  <c r="GC220" i="1" s="1"/>
  <c r="FZ184" i="1"/>
  <c r="GC184" i="1" s="1"/>
  <c r="CU239" i="1"/>
  <c r="CV239" i="1" s="1"/>
  <c r="CT239" i="1"/>
  <c r="GA209" i="1"/>
  <c r="FZ40" i="1"/>
  <c r="GC40" i="1" s="1"/>
  <c r="CL436" i="1"/>
  <c r="CK436" i="1"/>
  <c r="CW7" i="1"/>
  <c r="DC7" i="1" s="1"/>
  <c r="BW430" i="1"/>
  <c r="CW424" i="1"/>
  <c r="BL411" i="1"/>
  <c r="Z424" i="1"/>
  <c r="CL424" i="1"/>
  <c r="CU420" i="1"/>
  <c r="CT420" i="1"/>
  <c r="CU412" i="1"/>
  <c r="CT412" i="1"/>
  <c r="CU425" i="1"/>
  <c r="CM417" i="1" l="1"/>
  <c r="CN417" i="1"/>
  <c r="CV417" i="1" s="1"/>
  <c r="DL412" i="1"/>
  <c r="DL430" i="1" s="1"/>
  <c r="DL444" i="1" s="1"/>
  <c r="BO431" i="1"/>
  <c r="CL431" i="1" s="1"/>
  <c r="CL445" i="1" s="1"/>
  <c r="CL419" i="1"/>
  <c r="CM432" i="1"/>
  <c r="CM419" i="1"/>
  <c r="CL415" i="1"/>
  <c r="AB415" i="1"/>
  <c r="FX117" i="1"/>
  <c r="GB126" i="1"/>
  <c r="GD126" i="1" s="1"/>
  <c r="CU436" i="1"/>
  <c r="BK447" i="1"/>
  <c r="DK412" i="1"/>
  <c r="DK430" i="1" s="1"/>
  <c r="DK444" i="1" s="1"/>
  <c r="FW466" i="1"/>
  <c r="DA126" i="1"/>
  <c r="CV420" i="1"/>
  <c r="CK432" i="1"/>
  <c r="CN432" i="1"/>
  <c r="FW428" i="1"/>
  <c r="FX428" i="1" s="1"/>
  <c r="CN419" i="1"/>
  <c r="CV419" i="1" s="1"/>
  <c r="BW448" i="1"/>
  <c r="BS431" i="1"/>
  <c r="CM431" i="1" s="1"/>
  <c r="CM445" i="1" s="1"/>
  <c r="DA417" i="1"/>
  <c r="BW450" i="1"/>
  <c r="BZ453" i="1" s="1"/>
  <c r="DJ412" i="1"/>
  <c r="DJ430" i="1" s="1"/>
  <c r="DJ444" i="1" s="1"/>
  <c r="DD126" i="1"/>
  <c r="BK437" i="1"/>
  <c r="CK437" i="1" s="1"/>
  <c r="CK415" i="1"/>
  <c r="X425" i="1"/>
  <c r="CN415" i="1"/>
  <c r="CV415" i="1" s="1"/>
  <c r="DD419" i="1"/>
  <c r="DA419" i="1"/>
  <c r="DA415" i="1"/>
  <c r="DD424" i="1"/>
  <c r="DD415" i="1"/>
  <c r="CK425" i="1"/>
  <c r="CK423" i="1" s="1"/>
  <c r="DA416" i="1"/>
  <c r="DD416" i="1"/>
  <c r="CB445" i="1"/>
  <c r="CU431" i="1"/>
  <c r="CU432" i="1"/>
  <c r="CW432" i="1"/>
  <c r="DC432" i="1" s="1"/>
  <c r="CM425" i="1"/>
  <c r="CM423" i="1" s="1"/>
  <c r="BS411" i="1"/>
  <c r="AB437" i="1"/>
  <c r="CM437" i="1"/>
  <c r="CX432" i="1"/>
  <c r="DD432" i="1" s="1"/>
  <c r="CW431" i="1"/>
  <c r="DC431" i="1" s="1"/>
  <c r="AB425" i="1"/>
  <c r="DA430" i="1"/>
  <c r="BW445" i="1"/>
  <c r="DA420" i="1"/>
  <c r="BX445" i="1"/>
  <c r="DA220" i="1"/>
  <c r="EX420" i="1"/>
  <c r="GR420" i="1" s="1"/>
  <c r="BW447" i="1"/>
  <c r="CN436" i="1"/>
  <c r="DC424" i="1"/>
  <c r="CW436" i="1"/>
  <c r="DD117" i="1"/>
  <c r="DA117" i="1"/>
  <c r="GB15" i="1"/>
  <c r="GD15" i="1" s="1"/>
  <c r="GB65" i="1"/>
  <c r="GD65" i="1" s="1"/>
  <c r="DA364" i="1"/>
  <c r="DD364" i="1"/>
  <c r="GB7" i="1"/>
  <c r="GD7" i="1" s="1"/>
  <c r="FW209" i="1"/>
  <c r="FX184" i="1"/>
  <c r="FV126" i="1"/>
  <c r="EP375" i="1"/>
  <c r="ER375" i="1" s="1"/>
  <c r="EP364" i="1"/>
  <c r="ER364" i="1" s="1"/>
  <c r="EP334" i="1"/>
  <c r="ER334" i="1" s="1"/>
  <c r="EP348" i="1"/>
  <c r="ER348" i="1" s="1"/>
  <c r="EP299" i="1"/>
  <c r="ER299" i="1" s="1"/>
  <c r="EP313" i="1"/>
  <c r="ER313" i="1" s="1"/>
  <c r="EP272" i="1"/>
  <c r="ER272" i="1" s="1"/>
  <c r="EP247" i="1"/>
  <c r="ER247" i="1" s="1"/>
  <c r="EP220" i="1"/>
  <c r="ER220" i="1" s="1"/>
  <c r="EP209" i="1"/>
  <c r="ER209" i="1" s="1"/>
  <c r="EP257" i="1"/>
  <c r="ER257" i="1" s="1"/>
  <c r="EP184" i="1"/>
  <c r="ER184" i="1" s="1"/>
  <c r="EP126" i="1"/>
  <c r="ER126" i="1" s="1"/>
  <c r="EP117" i="1"/>
  <c r="ER117" i="1" s="1"/>
  <c r="EP101" i="1"/>
  <c r="ER101" i="1" s="1"/>
  <c r="EP86" i="1"/>
  <c r="ER86" i="1" s="1"/>
  <c r="EP65" i="1"/>
  <c r="ER65" i="1" s="1"/>
  <c r="EP40" i="1"/>
  <c r="ER40" i="1" s="1"/>
  <c r="EP138" i="1"/>
  <c r="ER138" i="1" s="1"/>
  <c r="EP76" i="1"/>
  <c r="ER76" i="1" s="1"/>
  <c r="EP15" i="1"/>
  <c r="ER15" i="1" s="1"/>
  <c r="EP7" i="1"/>
  <c r="ER7" i="1" s="1"/>
  <c r="DD247" i="1"/>
  <c r="DA247" i="1"/>
  <c r="DD425" i="1"/>
  <c r="DA425" i="1"/>
  <c r="CX437" i="1"/>
  <c r="DA438" i="1"/>
  <c r="DD438" i="1"/>
  <c r="FV209" i="1"/>
  <c r="GB101" i="1"/>
  <c r="GD101" i="1" s="1"/>
  <c r="CW443" i="1"/>
  <c r="DC375" i="1"/>
  <c r="FC418" i="1"/>
  <c r="CS430" i="1"/>
  <c r="Z425" i="1"/>
  <c r="BO437" i="1"/>
  <c r="CL425" i="1"/>
  <c r="CL423" i="1" s="1"/>
  <c r="GA220" i="1"/>
  <c r="GB117" i="1"/>
  <c r="GD117" i="1" s="1"/>
  <c r="GB209" i="1"/>
  <c r="GD209" i="1" s="1"/>
  <c r="BW449" i="1"/>
  <c r="CS437" i="1"/>
  <c r="CU437" i="1"/>
  <c r="GB86" i="1"/>
  <c r="GD86" i="1" s="1"/>
  <c r="BK445" i="1"/>
  <c r="X430" i="1"/>
  <c r="CN430" i="1"/>
  <c r="CK430" i="1"/>
  <c r="DA138" i="1"/>
  <c r="DD138" i="1"/>
  <c r="BO411" i="1"/>
  <c r="DA313" i="1"/>
  <c r="DD313" i="1"/>
  <c r="BW446" i="1"/>
  <c r="DW447" i="1"/>
  <c r="DX447" i="1" s="1"/>
  <c r="DY443" i="1"/>
  <c r="EL430" i="1"/>
  <c r="EL443" i="1" s="1"/>
  <c r="FF418" i="1"/>
  <c r="EV417" i="1"/>
  <c r="EU418" i="1"/>
  <c r="EV418" i="1" s="1"/>
  <c r="FV184" i="1"/>
  <c r="DA184" i="1"/>
  <c r="DA348" i="1"/>
  <c r="CN425" i="1"/>
  <c r="CN423" i="1" s="1"/>
  <c r="CV423" i="1" s="1"/>
  <c r="DA15" i="1"/>
  <c r="GB40" i="1"/>
  <c r="GD40" i="1" s="1"/>
  <c r="EO430" i="1"/>
  <c r="EQ430" i="1" s="1"/>
  <c r="EO428" i="1"/>
  <c r="EQ418" i="1"/>
  <c r="GR419" i="1"/>
  <c r="DD299" i="1"/>
  <c r="DA299" i="1"/>
  <c r="CX443" i="1"/>
  <c r="DD375" i="1"/>
  <c r="DA375" i="1"/>
  <c r="DD40" i="1"/>
  <c r="DA40" i="1"/>
  <c r="GB184" i="1"/>
  <c r="GD184" i="1" s="1"/>
  <c r="AB430" i="1"/>
  <c r="CM430" i="1"/>
  <c r="Z430" i="1"/>
  <c r="CL430" i="1"/>
  <c r="FW126" i="1"/>
  <c r="DA257" i="1"/>
  <c r="DD257" i="1"/>
  <c r="ET417" i="1"/>
  <c r="ES418" i="1"/>
  <c r="ET418" i="1" s="1"/>
  <c r="EY421" i="1"/>
  <c r="EY422" i="1" s="1"/>
  <c r="EY423" i="1" s="1"/>
  <c r="DA76" i="1"/>
  <c r="DD76" i="1"/>
  <c r="DA7" i="1"/>
  <c r="DC425" i="1"/>
  <c r="CW437" i="1"/>
  <c r="DC437" i="1" s="1"/>
  <c r="GB76" i="1"/>
  <c r="GD76" i="1" s="1"/>
  <c r="FB418" i="1"/>
  <c r="DA65" i="1"/>
  <c r="CU430" i="1"/>
  <c r="AB436" i="1"/>
  <c r="CM436" i="1"/>
  <c r="DA272" i="1"/>
  <c r="DD272" i="1"/>
  <c r="BK450" i="1"/>
  <c r="CK438" i="1"/>
  <c r="CN438" i="1"/>
  <c r="DD86" i="1"/>
  <c r="DA86" i="1"/>
  <c r="GC427" i="1"/>
  <c r="FZ428" i="1"/>
  <c r="DD334" i="1"/>
  <c r="DA334" i="1"/>
  <c r="DA424" i="1"/>
  <c r="CK431" i="1"/>
  <c r="CK445" i="1" s="1"/>
  <c r="CV412" i="1"/>
  <c r="CU438" i="1"/>
  <c r="CN416" i="1"/>
  <c r="CV416" i="1" s="1"/>
  <c r="CL416" i="1"/>
  <c r="CM416" i="1"/>
  <c r="CK416" i="1"/>
  <c r="GB138" i="1"/>
  <c r="GD138" i="1" s="1"/>
  <c r="DA209" i="1"/>
  <c r="DA101" i="1"/>
  <c r="FX126" i="1" l="1"/>
  <c r="CN431" i="1"/>
  <c r="CV431" i="1" s="1"/>
  <c r="CV436" i="1"/>
  <c r="FX209" i="1"/>
  <c r="CV432" i="1"/>
  <c r="BK446" i="1"/>
  <c r="BK449" i="1"/>
  <c r="DA443" i="1"/>
  <c r="X437" i="1"/>
  <c r="DJ450" i="1"/>
  <c r="DA431" i="1"/>
  <c r="DA432" i="1"/>
  <c r="EX421" i="1"/>
  <c r="GR421" i="1" s="1"/>
  <c r="FZ443" i="1"/>
  <c r="GC443" i="1" s="1"/>
  <c r="GC428" i="1"/>
  <c r="CV438" i="1"/>
  <c r="Z437" i="1"/>
  <c r="CL437" i="1"/>
  <c r="CN437" i="1"/>
  <c r="CV437" i="1" s="1"/>
  <c r="FD418" i="1"/>
  <c r="DD437" i="1"/>
  <c r="DA437" i="1"/>
  <c r="FW220" i="1"/>
  <c r="EQ428" i="1"/>
  <c r="EO443" i="1"/>
  <c r="CV430" i="1"/>
  <c r="GB220" i="1"/>
  <c r="GD220" i="1" s="1"/>
  <c r="FV220" i="1"/>
  <c r="DC436" i="1"/>
  <c r="DA436" i="1"/>
  <c r="CN445" i="1" l="1"/>
  <c r="GA247" i="1"/>
  <c r="EX422" i="1"/>
  <c r="GR422" i="1" s="1"/>
  <c r="EO445" i="1"/>
  <c r="EQ443" i="1"/>
  <c r="GB247" i="1"/>
  <c r="FW247" i="1"/>
  <c r="FX220" i="1"/>
  <c r="GD247" i="1" l="1"/>
  <c r="FX247" i="1"/>
  <c r="FV247" i="1"/>
  <c r="EX423" i="1"/>
  <c r="GR423" i="1" s="1"/>
  <c r="GA257" i="1"/>
  <c r="FW257" i="1"/>
  <c r="FV257" i="1"/>
  <c r="GB257" i="1"/>
  <c r="GD257" i="1" l="1"/>
  <c r="FX257" i="1"/>
  <c r="GA272" i="1"/>
  <c r="FV272" i="1"/>
  <c r="GB272" i="1"/>
  <c r="FW272" i="1"/>
  <c r="FX272" i="1" l="1"/>
  <c r="GD272" i="1"/>
  <c r="FW299" i="1"/>
  <c r="GB299" i="1"/>
  <c r="FV299" i="1"/>
  <c r="GA299" i="1"/>
  <c r="GA313" i="1" l="1"/>
  <c r="GD299" i="1"/>
  <c r="GB313" i="1"/>
  <c r="FW313" i="1"/>
  <c r="FV313" i="1"/>
  <c r="FX299" i="1"/>
  <c r="GD313" i="1" l="1"/>
  <c r="GB334" i="1"/>
  <c r="GA334" i="1"/>
  <c r="FW334" i="1"/>
  <c r="FX313" i="1"/>
  <c r="FW348" i="1" l="1"/>
  <c r="FX334" i="1"/>
  <c r="GB348" i="1"/>
  <c r="GD334" i="1"/>
  <c r="GA348" i="1"/>
  <c r="FV348" i="1"/>
  <c r="FV334" i="1"/>
  <c r="GA364" i="1" l="1"/>
  <c r="FW364" i="1"/>
  <c r="FX348" i="1"/>
  <c r="GD348" i="1"/>
  <c r="GB364" i="1"/>
  <c r="GA426" i="1" l="1"/>
  <c r="GD364" i="1"/>
  <c r="FV364" i="1"/>
  <c r="FX364" i="1"/>
  <c r="GB426" i="1"/>
  <c r="GB427" i="1"/>
  <c r="GB375" i="1"/>
  <c r="FV375" i="1"/>
  <c r="GA427" i="1"/>
  <c r="GA375" i="1"/>
  <c r="FW375" i="1"/>
  <c r="GA428" i="1" l="1"/>
  <c r="GA443" i="1" s="1"/>
  <c r="FX375" i="1"/>
  <c r="GD375" i="1"/>
  <c r="GB428" i="1"/>
  <c r="GX427" i="1"/>
  <c r="GY427" i="1" s="1"/>
  <c r="GZ427" i="1" s="1"/>
  <c r="GD427" i="1"/>
  <c r="GD426" i="1"/>
  <c r="GX426" i="1"/>
  <c r="GY426" i="1" l="1"/>
  <c r="GX428" i="1"/>
  <c r="GX443" i="1" s="1"/>
  <c r="GB443" i="1"/>
  <c r="GD443" i="1" s="1"/>
  <c r="GD428" i="1"/>
  <c r="GZ426" i="1" l="1"/>
  <c r="GY428" i="1"/>
  <c r="GY443" i="1" l="1"/>
  <c r="GZ443" i="1" s="1"/>
  <c r="GZ428" i="1"/>
  <c r="DX53" i="1" l="1"/>
  <c r="DX55" i="1"/>
  <c r="DX52" i="1"/>
  <c r="DX54" i="1"/>
  <c r="DX323" i="1"/>
  <c r="DX359" i="1"/>
  <c r="DX50" i="1" l="1"/>
  <c r="DX416" i="1" l="1"/>
</calcChain>
</file>

<file path=xl/comments1.xml><?xml version="1.0" encoding="utf-8"?>
<comments xmlns="http://schemas.openxmlformats.org/spreadsheetml/2006/main">
  <authors>
    <author>V</author>
    <author>RePack by Diakov</author>
    <author>Петрова Ольга Викторовна</author>
    <author>Кожуховская Екатерина Алексеевна</author>
  </authors>
  <commentList>
    <comment ref="O3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процент согласно разбивке объемов НЖКС</t>
        </r>
      </text>
    </comment>
    <comment ref="FR50" authorId="1">
      <text>
        <r>
          <rPr>
            <b/>
            <sz val="8"/>
            <color indexed="81"/>
            <rFont val="Tahoma"/>
            <family val="2"/>
            <charset val="204"/>
          </rPr>
          <t>Петрова:</t>
        </r>
        <r>
          <rPr>
            <sz val="8"/>
            <color indexed="81"/>
            <rFont val="Tahoma"/>
            <family val="2"/>
            <charset val="204"/>
          </rPr>
          <t xml:space="preserve">
внесены изменения 30 декабря №60/2</t>
        </r>
      </text>
    </comment>
    <comment ref="GN50" authorId="2">
      <text>
        <r>
          <rPr>
            <b/>
            <sz val="8"/>
            <color indexed="81"/>
            <rFont val="Tahoma"/>
            <family val="2"/>
            <charset val="204"/>
          </rPr>
          <t>Петрова Ольга Викторовна:</t>
        </r>
        <r>
          <rPr>
            <sz val="8"/>
            <color indexed="81"/>
            <rFont val="Tahoma"/>
            <family val="2"/>
            <charset val="204"/>
          </rPr>
          <t xml:space="preserve">
уточнить объем</t>
        </r>
      </text>
    </comment>
    <comment ref="BC80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ндс не облагается в 2014 году</t>
        </r>
      </text>
    </comment>
    <comment ref="FO81" authorId="1">
      <text>
        <r>
          <rPr>
            <b/>
            <sz val="8"/>
            <color indexed="81"/>
            <rFont val="Tahoma"/>
            <family val="2"/>
            <charset val="204"/>
          </rPr>
          <t>Петрова изменение от 30.12:</t>
        </r>
        <r>
          <rPr>
            <sz val="8"/>
            <color indexed="81"/>
            <rFont val="Tahoma"/>
            <family val="2"/>
            <charset val="204"/>
          </rPr>
          <t xml:space="preserve">
на 47,56</t>
        </r>
      </text>
    </comment>
    <comment ref="BC121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ндс не облагается</t>
        </r>
      </text>
    </comment>
    <comment ref="BC130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ндс с 2014 года не облагается</t>
        </r>
      </text>
    </comment>
    <comment ref="BG133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внесено изменение</t>
        </r>
      </text>
    </comment>
    <comment ref="AI163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ндс не облагается</t>
        </r>
      </text>
    </comment>
    <comment ref="C172" authorId="3">
      <text>
        <r>
          <rPr>
            <b/>
            <sz val="9"/>
            <color indexed="81"/>
            <rFont val="Tahoma"/>
            <family val="2"/>
            <charset val="204"/>
          </rPr>
          <t>Кожуховская Екатерина Алексеевна:</t>
        </r>
        <r>
          <rPr>
            <sz val="9"/>
            <color indexed="81"/>
            <rFont val="Tahoma"/>
            <family val="2"/>
            <charset val="204"/>
          </rPr>
          <t xml:space="preserve">
Григорово
</t>
        </r>
      </text>
    </comment>
    <comment ref="C173" authorId="3">
      <text>
        <r>
          <rPr>
            <b/>
            <sz val="9"/>
            <color indexed="81"/>
            <rFont val="Tahoma"/>
            <family val="2"/>
            <charset val="204"/>
          </rPr>
          <t>Кожуховская Екатерина Алексеевна:</t>
        </r>
        <r>
          <rPr>
            <sz val="9"/>
            <color indexed="81"/>
            <rFont val="Tahoma"/>
            <family val="2"/>
            <charset val="204"/>
          </rPr>
          <t xml:space="preserve">
Григорово
</t>
        </r>
      </text>
    </comment>
    <comment ref="EE241" authorId="1">
      <text>
        <r>
          <rPr>
            <b/>
            <sz val="8"/>
            <color indexed="81"/>
            <rFont val="Tahoma"/>
            <family val="2"/>
            <charset val="204"/>
          </rPr>
          <t>RePack by Diakov:</t>
        </r>
        <r>
          <rPr>
            <sz val="8"/>
            <color indexed="81"/>
            <rFont val="Tahoma"/>
            <family val="2"/>
            <charset val="204"/>
          </rPr>
          <t xml:space="preserve">
услугу не оказывает</t>
        </r>
      </text>
    </comment>
    <comment ref="FM269" authorId="1">
      <text>
        <r>
          <rPr>
            <b/>
            <sz val="8"/>
            <color indexed="81"/>
            <rFont val="Tahoma"/>
            <family val="2"/>
            <charset val="204"/>
          </rPr>
          <t>Петрова:</t>
        </r>
        <r>
          <rPr>
            <sz val="8"/>
            <color indexed="81"/>
            <rFont val="Tahoma"/>
            <family val="2"/>
            <charset val="204"/>
          </rPr>
          <t xml:space="preserve">
объемы в окуловском районе</t>
        </r>
      </text>
    </comment>
    <comment ref="EE283" authorId="1">
      <text>
        <r>
          <rPr>
            <b/>
            <sz val="8"/>
            <color indexed="81"/>
            <rFont val="Tahoma"/>
            <family val="2"/>
            <charset val="204"/>
          </rPr>
          <t>RePack by Diakov:</t>
        </r>
        <r>
          <rPr>
            <sz val="8"/>
            <color indexed="81"/>
            <rFont val="Tahoma"/>
            <family val="2"/>
            <charset val="204"/>
          </rPr>
          <t xml:space="preserve">
норматив 0,062</t>
        </r>
      </text>
    </comment>
    <comment ref="AF397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внесено изменение</t>
        </r>
      </text>
    </comment>
    <comment ref="FO405" authorId="1">
      <text>
        <r>
          <rPr>
            <b/>
            <sz val="8"/>
            <color indexed="81"/>
            <rFont val="Tahoma"/>
            <family val="2"/>
            <charset val="204"/>
          </rPr>
          <t>Петрова:</t>
        </r>
        <r>
          <rPr>
            <sz val="8"/>
            <color indexed="81"/>
            <rFont val="Tahoma"/>
            <family val="2"/>
            <charset val="204"/>
          </rPr>
          <t xml:space="preserve">
включен тариф на передачу данилы мастер</t>
        </r>
      </text>
    </comment>
    <comment ref="O412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+объем транспортировки</t>
        </r>
      </text>
    </comment>
    <comment ref="CW412" authorId="0">
      <text>
        <r>
          <rPr>
            <b/>
            <sz val="8"/>
            <color indexed="81"/>
            <rFont val="Tahoma"/>
            <family val="2"/>
            <charset val="204"/>
          </rPr>
          <t>V:</t>
        </r>
        <r>
          <rPr>
            <sz val="8"/>
            <color indexed="81"/>
            <rFont val="Tahoma"/>
            <family val="2"/>
            <charset val="204"/>
          </rPr>
          <t xml:space="preserve">
+объем транспортировки</t>
        </r>
      </text>
    </comment>
    <comment ref="EN429" authorId="1">
      <text>
        <r>
          <rPr>
            <b/>
            <sz val="8"/>
            <color indexed="81"/>
            <rFont val="Tahoma"/>
            <family val="2"/>
            <charset val="204"/>
          </rPr>
          <t>RePack by Diakov:</t>
        </r>
        <r>
          <rPr>
            <sz val="8"/>
            <color indexed="81"/>
            <rFont val="Tahoma"/>
            <family val="2"/>
            <charset val="204"/>
          </rPr>
          <t xml:space="preserve">
из сборника по статистике</t>
        </r>
      </text>
    </comment>
    <comment ref="FY429" authorId="1">
      <text>
        <r>
          <rPr>
            <b/>
            <sz val="8"/>
            <color indexed="81"/>
            <rFont val="Tahoma"/>
            <family val="2"/>
            <charset val="204"/>
          </rPr>
          <t>Петрова:</t>
        </r>
        <r>
          <rPr>
            <sz val="8"/>
            <color indexed="81"/>
            <rFont val="Tahoma"/>
            <family val="2"/>
            <charset val="204"/>
          </rPr>
          <t xml:space="preserve">
из сборника МН</t>
        </r>
      </text>
    </comment>
    <comment ref="GE438" authorId="1">
      <text>
        <r>
          <rPr>
            <b/>
            <sz val="8"/>
            <color indexed="81"/>
            <rFont val="Tahoma"/>
            <family val="2"/>
            <charset val="204"/>
          </rPr>
          <t>RePack by Diakov:</t>
        </r>
        <r>
          <rPr>
            <sz val="8"/>
            <color indexed="81"/>
            <rFont val="Tahoma"/>
            <family val="2"/>
            <charset val="204"/>
          </rPr>
          <t xml:space="preserve">
в м3</t>
        </r>
      </text>
    </comment>
    <comment ref="EN442" authorId="1">
      <text>
        <r>
          <rPr>
            <b/>
            <sz val="8"/>
            <color indexed="81"/>
            <rFont val="Tahoma"/>
            <family val="2"/>
            <charset val="204"/>
          </rPr>
          <t>RePack by Diakov:</t>
        </r>
        <r>
          <rPr>
            <sz val="8"/>
            <color indexed="81"/>
            <rFont val="Tahoma"/>
            <family val="2"/>
            <charset val="204"/>
          </rPr>
          <t xml:space="preserve">
из сборника по статистике</t>
        </r>
      </text>
    </comment>
  </commentList>
</comments>
</file>

<file path=xl/sharedStrings.xml><?xml version="1.0" encoding="utf-8"?>
<sst xmlns="http://schemas.openxmlformats.org/spreadsheetml/2006/main" count="2264" uniqueCount="731">
  <si>
    <t>Приложение №1</t>
  </si>
  <si>
    <t xml:space="preserve">Информация об утвержденных тарифах на услуги коммунального комплекса  Новгородской области </t>
  </si>
  <si>
    <t>тепло</t>
  </si>
  <si>
    <t>№п/п</t>
  </si>
  <si>
    <t>Наименование района/организации</t>
  </si>
  <si>
    <t>объем реализации 2012 год, Гкал</t>
  </si>
  <si>
    <t>население 2012,Гкал</t>
  </si>
  <si>
    <t>население 1 период 2012,Гкал</t>
  </si>
  <si>
    <t>население 2 период 2012,Гкал</t>
  </si>
  <si>
    <t>население 3 период 2012,Гкал</t>
  </si>
  <si>
    <t>прочие 2012,Гкал</t>
  </si>
  <si>
    <t>прочие 1 период 2012,Гкал</t>
  </si>
  <si>
    <t>прочие 2 период 2012,Гкал</t>
  </si>
  <si>
    <t>прочие 3 период 2012,Гкал</t>
  </si>
  <si>
    <t>объем реализации 2013,Гкал</t>
  </si>
  <si>
    <t>население 2013,Гкал</t>
  </si>
  <si>
    <t>население январь-май 2013,Гкал</t>
  </si>
  <si>
    <t>население июнь 2013,Гкал</t>
  </si>
  <si>
    <t>население июль-декабрь,Гкал</t>
  </si>
  <si>
    <t>прочие 2013,Гкал</t>
  </si>
  <si>
    <t>прочие январь-май 2013,Гкал</t>
  </si>
  <si>
    <t>прочие июнь 2013,Гкал</t>
  </si>
  <si>
    <t>прочие июль-декабрь 2013,Гкал</t>
  </si>
  <si>
    <t>Общий тариф 2011 год, руб/Гкал, руб/м3 ,без НДС</t>
  </si>
  <si>
    <t>Общий тариф 2012 год, руб/Гкал,руб/м3, без НДС</t>
  </si>
  <si>
    <t xml:space="preserve"> Тариф для иных групп потребителей, кроме населения 2013 год, руб/Гкал,руб/м3, без НДС</t>
  </si>
  <si>
    <t>Тариф для населения 2011 год, руб/Гкал, руб/м3 с НДС</t>
  </si>
  <si>
    <t>Тариф для населения 2012 год , руб/Гкал ,руб/м3 с НДС</t>
  </si>
  <si>
    <t>Тариф для населения 2013 год, руб/Гкал ,руб/м3 с НДС</t>
  </si>
  <si>
    <t>Доля НВВ (по услугам) в уровне платежа,%</t>
  </si>
  <si>
    <t>постановление КЦиТП</t>
  </si>
  <si>
    <t>Объем реализации на 2014 год тыс.Гкал</t>
  </si>
  <si>
    <t>население</t>
  </si>
  <si>
    <t>бюджетные организации</t>
  </si>
  <si>
    <t>прочие</t>
  </si>
  <si>
    <t xml:space="preserve"> Тариф для иных групп потребителей, кроме населения 2014 год, руб/Гкал,руб/м3, без НДС</t>
  </si>
  <si>
    <t>Тариф для населения 2014 год, руб/Гкал ,руб/м3 с НДС</t>
  </si>
  <si>
    <t>НВВ 2012  1 период (тыс.руб)</t>
  </si>
  <si>
    <t>НВВ 2012  2 период</t>
  </si>
  <si>
    <t>НВВ 2012  3 период</t>
  </si>
  <si>
    <t>НВВ 2013 1 период (годовые объемы)</t>
  </si>
  <si>
    <t>НВВ 2013  2 период (годовые объемы)</t>
  </si>
  <si>
    <t>Средний тариф 2012 года</t>
  </si>
  <si>
    <t>Средний тариф 2013 года</t>
  </si>
  <si>
    <t>индекс роста 2013 г. к 2012 г.</t>
  </si>
  <si>
    <t>НВВ 2012 (среднегодовое) для уровня платежа граждан, руб</t>
  </si>
  <si>
    <t>НВВ 2013 (среднегодовое) для уровня платежа граждан, руб</t>
  </si>
  <si>
    <t>Уровень платежа граждан</t>
  </si>
  <si>
    <t>индекс роста</t>
  </si>
  <si>
    <t>нвв  2013 1 пер</t>
  </si>
  <si>
    <t>нвв  2013 1 пер июнь</t>
  </si>
  <si>
    <t>нвв 2013 2 пер</t>
  </si>
  <si>
    <t>нвв 2013 год</t>
  </si>
  <si>
    <t>НВВ 2014 (в ценах 2 пг) для уровня платежа граждан, руб</t>
  </si>
  <si>
    <t>НВВ 1 период 2014</t>
  </si>
  <si>
    <t>НВВ 2 период 2014</t>
  </si>
  <si>
    <t>тариф средний</t>
  </si>
  <si>
    <t>дотация 1 период</t>
  </si>
  <si>
    <t>дотация 2 период,млн руб</t>
  </si>
  <si>
    <t xml:space="preserve"> Тариф для иных групп потребителей, кроме населения 2015 год, руб/Гкал,руб/м3, без НДС</t>
  </si>
  <si>
    <t>Тариф для населения 2015 год, руб/Гкал ,руб/м3 с НДС</t>
  </si>
  <si>
    <t>Объем реализации 2015, тыс.Гкал, тыс.м3</t>
  </si>
  <si>
    <t>население, тыс.Гкал, тыс.м3</t>
  </si>
  <si>
    <t>НВВ 2015 (в ценах 2 пг) для уровня платежа граждан, руб</t>
  </si>
  <si>
    <t xml:space="preserve"> +жилищные услуги</t>
  </si>
  <si>
    <t>Уровень платежа граждан (коммун.услуги)</t>
  </si>
  <si>
    <t>Уровень платежа граждан (коммун.услуги+жилищные услуги)</t>
  </si>
  <si>
    <t>НВВ 2015 год(в тарифах января)</t>
  </si>
  <si>
    <t>средний тариф по области для слайдов без НДС</t>
  </si>
  <si>
    <t>НВВ 2015 год(в тарифах декабря)</t>
  </si>
  <si>
    <t>НВВ декабрь 2014</t>
  </si>
  <si>
    <t>НВВ декабрь 2015</t>
  </si>
  <si>
    <t>дотация 1 пг 2015 (тыс.руб)</t>
  </si>
  <si>
    <t>дотация 2 пг 2015 (тыс.руб)</t>
  </si>
  <si>
    <t>итого дотация 2015 (тыс.руб)</t>
  </si>
  <si>
    <t>Объем реализации 2016-2018 годы, тыс.Гкал, тыс.м3</t>
  </si>
  <si>
    <t>население 2016-2018, тыс.Гкал, тыс.м3</t>
  </si>
  <si>
    <t>дотация 1 пг 2016 в годовых объемах</t>
  </si>
  <si>
    <t>дотация 2 пг 2016 в годовых обеъемах</t>
  </si>
  <si>
    <t>отклонение реальное в год</t>
  </si>
  <si>
    <t>НВВ 2015 (в ценах 2 пг) для уровня платежа граждан,т руб</t>
  </si>
  <si>
    <t>НВВ 2016 (в ценах 2 пг) для уровня платежа граждан,тыс. руб</t>
  </si>
  <si>
    <t>уровень платежа граждан 2015 г</t>
  </si>
  <si>
    <t>уровень платежа граждан 2016 г</t>
  </si>
  <si>
    <t>НВВ 2016 год(в тарифах января)</t>
  </si>
  <si>
    <t>НВВ 2016 (объем по населению на тариф для населения) с НДС в тарифах января 2016 года</t>
  </si>
  <si>
    <t>НВВ 2016 год(в тарифах декабря)</t>
  </si>
  <si>
    <t xml:space="preserve">НВВ 2016 (объем по населению на тариф для населения) с НДС в тарифах декабря </t>
  </si>
  <si>
    <t>Объем реализации 17 годы, тыс.Гкал, тыс.м3</t>
  </si>
  <si>
    <t>население 2017, тыс.Гкал, тыс.м3</t>
  </si>
  <si>
    <t>дотация 1 пг 2017 в годовых объемах, тыс.руб</t>
  </si>
  <si>
    <t>дотация 2 пг 2017 в годовых обеъемах, тыс.руб</t>
  </si>
  <si>
    <t>НВВ 2017 (в ценах 2 пг) для уровня платежа граждан,тыс. руб</t>
  </si>
  <si>
    <t>уровень платежа граждан 2017 г</t>
  </si>
  <si>
    <t>с 01.01.2012-30.06.2012</t>
  </si>
  <si>
    <r>
      <t>индекс роста</t>
    </r>
    <r>
      <rPr>
        <b/>
        <sz val="10"/>
        <rFont val="Arial Cyr"/>
        <charset val="204"/>
      </rPr>
      <t xml:space="preserve"> 1 период 2012  к 2011 г</t>
    </r>
  </si>
  <si>
    <t>с 01.07.2012-31.08.2012</t>
  </si>
  <si>
    <t>с 01.09.2012-31.12.2012</t>
  </si>
  <si>
    <t>с 01.01.2013-30.05.2013</t>
  </si>
  <si>
    <t>с 01.06.2013-30.06.2013</t>
  </si>
  <si>
    <t>с 01.07.2013-31.12.2013</t>
  </si>
  <si>
    <t>НВВ (насел) 2 период к НВВ (насел) 1 период</t>
  </si>
  <si>
    <t>с 01.01.2014-30.06.2014</t>
  </si>
  <si>
    <t>с 01.07.2014-31.12.2014</t>
  </si>
  <si>
    <t xml:space="preserve">итого </t>
  </si>
  <si>
    <t>дотация</t>
  </si>
  <si>
    <t>общий</t>
  </si>
  <si>
    <t>тариф для населения (на объем д/населения)</t>
  </si>
  <si>
    <t>общий тариф (на объем д/населения)</t>
  </si>
  <si>
    <t>2012 год</t>
  </si>
  <si>
    <t>2013 год</t>
  </si>
  <si>
    <t>тариф для населения</t>
  </si>
  <si>
    <t>общий тариф</t>
  </si>
  <si>
    <t>тариф для населения (на объем д/населения) в ценах 1 пг</t>
  </si>
  <si>
    <t>с 01.01.2015-30.06.2015</t>
  </si>
  <si>
    <t>с 01.07.2015-31.12.2015</t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</si>
  <si>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2016</t>
    </r>
    <r>
      <rPr>
        <b/>
        <sz val="10"/>
        <rFont val="Arial Cyr"/>
        <charset val="204"/>
      </rPr>
      <t xml:space="preserve">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2016 г</t>
    </r>
  </si>
  <si>
    <t>1</t>
  </si>
  <si>
    <t>7</t>
  </si>
  <si>
    <t>14</t>
  </si>
  <si>
    <t>15</t>
  </si>
  <si>
    <t>16</t>
  </si>
  <si>
    <t>17</t>
  </si>
  <si>
    <t>19</t>
  </si>
  <si>
    <t>20</t>
  </si>
  <si>
    <t>нвв 2012 1 пер</t>
  </si>
  <si>
    <t>нвв 2012 2 пер</t>
  </si>
  <si>
    <t>нвв 2012 3 пер</t>
  </si>
  <si>
    <t>Батецкий район</t>
  </si>
  <si>
    <t xml:space="preserve"> - котельные на твердом топливе</t>
  </si>
  <si>
    <t>№ 69 от 21.11.2012</t>
  </si>
  <si>
    <t xml:space="preserve"> -водоснабжение</t>
  </si>
  <si>
    <t>№ 69/1 от 21.11.2012</t>
  </si>
  <si>
    <t>водоотведение (полный цикл)</t>
  </si>
  <si>
    <t>пропуск стоков</t>
  </si>
  <si>
    <t>очистка стоков</t>
  </si>
  <si>
    <t>1.1</t>
  </si>
  <si>
    <t xml:space="preserve"> </t>
  </si>
  <si>
    <t xml:space="preserve"> - тепловая энергия</t>
  </si>
  <si>
    <t>№ 18 от 15.05.2013</t>
  </si>
  <si>
    <t>№ 65/5 от 5.12.2013</t>
  </si>
  <si>
    <t>№50/2 от 28.11.2014</t>
  </si>
  <si>
    <t xml:space="preserve"> -водоснабжение*</t>
  </si>
  <si>
    <t>водоотведение (полный цикл)*</t>
  </si>
  <si>
    <t>пропуск стоков*</t>
  </si>
  <si>
    <t xml:space="preserve"> тепловая энергия*</t>
  </si>
  <si>
    <t>1.4</t>
  </si>
  <si>
    <t>МУП "Управляющая компания"</t>
  </si>
  <si>
    <t>электроэнергия</t>
  </si>
  <si>
    <t>Боровичский район</t>
  </si>
  <si>
    <t xml:space="preserve"> - ГВС</t>
  </si>
  <si>
    <t>2.1.</t>
  </si>
  <si>
    <t>ООО "Тепловая Компания Новгородская"</t>
  </si>
  <si>
    <t xml:space="preserve"> тепловая энергия</t>
  </si>
  <si>
    <t>тепловая энергия (кот.№26)</t>
  </si>
  <si>
    <t xml:space="preserve"> - ГВС (тыс.куб.м)</t>
  </si>
  <si>
    <t>№ 18/1 от 15.05.2013</t>
  </si>
  <si>
    <t>№ 70/2 от 12.12.2013</t>
  </si>
  <si>
    <t>№57/8 от 09.12.2014</t>
  </si>
  <si>
    <t>2.2.</t>
  </si>
  <si>
    <t>МУП "Боровичский ВОДОКАНАЛ"</t>
  </si>
  <si>
    <t>№ 25/2 от 31.05.2013</t>
  </si>
  <si>
    <t>№ 66/3 от 6.12.2013</t>
  </si>
  <si>
    <t>№56/1 от 08.12.2014</t>
  </si>
  <si>
    <t>водоотведение</t>
  </si>
  <si>
    <t>2.4</t>
  </si>
  <si>
    <t>ООО "Энергия"</t>
  </si>
  <si>
    <t>№ 68/4 от 20.11.2012</t>
  </si>
  <si>
    <t>№61/1 от 29.11.2013</t>
  </si>
  <si>
    <t>№ 53/4 от 03.12.2014</t>
  </si>
  <si>
    <t>2.6</t>
  </si>
  <si>
    <t>АО "БКСМ"</t>
  </si>
  <si>
    <t>№ 69/11 от 21.11.2012</t>
  </si>
  <si>
    <t>№62/6 от 02.12.2013</t>
  </si>
  <si>
    <t>№51/3 от 01.12.2014</t>
  </si>
  <si>
    <t>№ 67/3 от 19.11.2012</t>
  </si>
  <si>
    <t>№ 64/2 от 04.12.2013</t>
  </si>
  <si>
    <t>№49 от 27.11.2014</t>
  </si>
  <si>
    <t>2.8</t>
  </si>
  <si>
    <t>АО "БКО"</t>
  </si>
  <si>
    <t>№ 69/4 от 21.11.2012</t>
  </si>
  <si>
    <t xml:space="preserve">№ 64/8 от 4.12.2013 </t>
  </si>
  <si>
    <t>№48/5 от 26.11.2014</t>
  </si>
  <si>
    <t>2.15.</t>
  </si>
  <si>
    <t>3</t>
  </si>
  <si>
    <t>Валдайский район</t>
  </si>
  <si>
    <t>техническая вода</t>
  </si>
  <si>
    <t>3.1.</t>
  </si>
  <si>
    <t>3.4.</t>
  </si>
  <si>
    <t>Валдайское МУП "Домоуправление"</t>
  </si>
  <si>
    <t>№ 67/8 от 19.11.2012</t>
  </si>
  <si>
    <t>№ 64/6 от 4.12.2013</t>
  </si>
  <si>
    <t>№46/8 от 24.11.2014</t>
  </si>
  <si>
    <t>3.5.</t>
  </si>
  <si>
    <t>ФГУ Дом отдыха"Валдай"</t>
  </si>
  <si>
    <t>№ 69/13 от 21.11.2012</t>
  </si>
  <si>
    <t>№57/4 от 25.11.2013</t>
  </si>
  <si>
    <t>№55/1 от 05.12.2014</t>
  </si>
  <si>
    <t>№ 69/14 от 21.11.2012</t>
  </si>
  <si>
    <t>№57/3 от 25.11.2013</t>
  </si>
  <si>
    <t>№55/3 от 05.12.2014</t>
  </si>
  <si>
    <t>№ 64/7 от 13.11.2012</t>
  </si>
  <si>
    <t>№57/2 от 25.11.2013</t>
  </si>
  <si>
    <t>№55/2 от 05.12.2014</t>
  </si>
  <si>
    <t>тепловая энергия</t>
  </si>
  <si>
    <t>водоснабжение</t>
  </si>
  <si>
    <t xml:space="preserve">тепловая энергия (д.Ижицы, д.Долгие Бороды) </t>
  </si>
  <si>
    <t>№35/3 от 06.11.2015</t>
  </si>
  <si>
    <t>ГВС (д.Загорье)</t>
  </si>
  <si>
    <t>транспортировка воды</t>
  </si>
  <si>
    <t>4</t>
  </si>
  <si>
    <t>Волотовский район</t>
  </si>
  <si>
    <t>4.1.</t>
  </si>
  <si>
    <t>4.2.</t>
  </si>
  <si>
    <t>«Волотовский водостройсервис»</t>
  </si>
  <si>
    <t>№ 65/4 от 5.12.2013</t>
  </si>
  <si>
    <t>№47/1 от 25.11.2014</t>
  </si>
  <si>
    <t>4.4.</t>
  </si>
  <si>
    <t>ОАО "НордЭнерго"</t>
  </si>
  <si>
    <t>№ 63/9 от 12.11.2012</t>
  </si>
  <si>
    <t>№ 66/1 от 6.12.2013</t>
  </si>
  <si>
    <t>№54/1 от 04.12.2014</t>
  </si>
  <si>
    <t>4.5.</t>
  </si>
  <si>
    <t>5</t>
  </si>
  <si>
    <t>Демянский район</t>
  </si>
  <si>
    <t>5.1.</t>
  </si>
  <si>
    <t>5.2.</t>
  </si>
  <si>
    <t>МУП "Водоканал"</t>
  </si>
  <si>
    <t>водоснабжение*</t>
  </si>
  <si>
    <t>№ 25/1 от 31.05.2013</t>
  </si>
  <si>
    <t>№63 от 03.12.2013</t>
  </si>
  <si>
    <t>№48 от 26.11.2014</t>
  </si>
  <si>
    <t>5.6.</t>
  </si>
  <si>
    <t>6</t>
  </si>
  <si>
    <t>Крестецкий район</t>
  </si>
  <si>
    <t>6.1.</t>
  </si>
  <si>
    <t xml:space="preserve"> тепловая энергия, кроме Новорахинского с/п</t>
  </si>
  <si>
    <t xml:space="preserve"> тепловая энергия, Новорахинское с/п</t>
  </si>
  <si>
    <t>6.2.</t>
  </si>
  <si>
    <t>ООО "Водоканал"</t>
  </si>
  <si>
    <t>№ 25/4 от 31.05.2013</t>
  </si>
  <si>
    <t>№ 71 от 13.12.2013</t>
  </si>
  <si>
    <t>№57/7 от 09.12.2014</t>
  </si>
  <si>
    <t>6.3.</t>
  </si>
  <si>
    <t>ИП "Андреев А.Н."</t>
  </si>
  <si>
    <t>№23/3 от 03.07.2014</t>
  </si>
  <si>
    <t>№46/4 от 24.11.2014</t>
  </si>
  <si>
    <t>6.7.</t>
  </si>
  <si>
    <t>Любытинский район</t>
  </si>
  <si>
    <t xml:space="preserve">водоотведение (полный цикл) </t>
  </si>
  <si>
    <t>7.1.</t>
  </si>
  <si>
    <t xml:space="preserve">тепловая энергия (кот №№1,2 р.п.Неболчи)
</t>
  </si>
  <si>
    <t>7.2.</t>
  </si>
  <si>
    <t>МУП "Любытинское водопроводно-канализационное хозяйство"</t>
  </si>
  <si>
    <t>№ 20/1 от 24.05.2013</t>
  </si>
  <si>
    <t>№ 70 от 12.12.2013</t>
  </si>
  <si>
    <t>№54 от 04.12.2014</t>
  </si>
  <si>
    <t>водоотведение (полный цикл) *</t>
  </si>
  <si>
    <t>7.4.</t>
  </si>
  <si>
    <t>ООО "Неболчское межмуниципальное предприятие жилищного хозяйства"</t>
  </si>
  <si>
    <t>№ 62/1 от 08.11.2012</t>
  </si>
  <si>
    <t>№57/5 от 25.11.2013</t>
  </si>
  <si>
    <t>№ 46/6 от 24.11.2014</t>
  </si>
  <si>
    <t>7.5.</t>
  </si>
  <si>
    <t>ОАО "РЖД"</t>
  </si>
  <si>
    <t>№ 65/4 от 14.11.2012</t>
  </si>
  <si>
    <t>№ 71/4 от 13.12.2013</t>
  </si>
  <si>
    <t>№60/1 от 12.12.2014</t>
  </si>
  <si>
    <t>7.6.</t>
  </si>
  <si>
    <t>8</t>
  </si>
  <si>
    <t>Маревский район</t>
  </si>
  <si>
    <t>8.1.</t>
  </si>
  <si>
    <t>8.2.</t>
  </si>
  <si>
    <t>МУП "Маревское водоканализационное хозяйство"</t>
  </si>
  <si>
    <t>№ 25/6 от 31.05.2013</t>
  </si>
  <si>
    <t>№63/1 от 03.12.2013</t>
  </si>
  <si>
    <t>№48/1 от 26.11.2014</t>
  </si>
  <si>
    <t>8.4.</t>
  </si>
  <si>
    <t>9</t>
  </si>
  <si>
    <t>Мошенской район</t>
  </si>
  <si>
    <t>9.1.</t>
  </si>
  <si>
    <t>9.2.</t>
  </si>
  <si>
    <t>МУП ЖКХ Мошенского сельского поселения</t>
  </si>
  <si>
    <t>№ 21/4 от 27.05.2013</t>
  </si>
  <si>
    <t>№ 66/5 от 6.12.2013</t>
  </si>
  <si>
    <t>№48/2 от 26.11.2014</t>
  </si>
  <si>
    <t>водоотведение (полный цикл), кроме Калининского с/п, Кировского с/п *</t>
  </si>
  <si>
    <t>пропуск стоков, кроме Калининского с/п*</t>
  </si>
  <si>
    <t>пропуск стоков, Калининское с/п*</t>
  </si>
  <si>
    <t>9.4.</t>
  </si>
  <si>
    <t>10</t>
  </si>
  <si>
    <t>Новгородский район</t>
  </si>
  <si>
    <t xml:space="preserve"> - котельные на дровах</t>
  </si>
  <si>
    <t>10.1.</t>
  </si>
  <si>
    <t xml:space="preserve"> тепловая энергия, кроме Панковского г/п</t>
  </si>
  <si>
    <t xml:space="preserve"> тепловая энергия, Панковское г/п, г.Великий Новгород</t>
  </si>
  <si>
    <t>тепловая энергия (кот.№85 д.Новоселицы)</t>
  </si>
  <si>
    <t>ГВС, кроме Панковского г/п</t>
  </si>
  <si>
    <t>ГВС, Панковское г/п</t>
  </si>
  <si>
    <t>ГВС (кот.№85 д.Новоселицы)</t>
  </si>
  <si>
    <t>ГВС</t>
  </si>
  <si>
    <t>10.4.</t>
  </si>
  <si>
    <t>АО "261-ремонтный завод</t>
  </si>
  <si>
    <t>№ 68/12 от 20.11.2012</t>
  </si>
  <si>
    <t>№58/1 от 26.11.2013</t>
  </si>
  <si>
    <t>№ 53/5  от 03.12.2014</t>
  </si>
  <si>
    <t>10.7.</t>
  </si>
  <si>
    <t>ООО "Новгородский Бекон"</t>
  </si>
  <si>
    <t>водоснабжение (д.Божонка,д.Новоселицы)</t>
  </si>
  <si>
    <t>№65/1 от  22.12.2014</t>
  </si>
  <si>
    <t>водоотведение (д.Божонка,д.Новоселицы)</t>
  </si>
  <si>
    <t>водоснабжение (д.Подберезье)</t>
  </si>
  <si>
    <t>№65 от 22.12.2014</t>
  </si>
  <si>
    <t>№ 64/2 от 13.11.2012</t>
  </si>
  <si>
    <t>№58 от 26.11.2013</t>
  </si>
  <si>
    <t>№55 от 05.12.2014</t>
  </si>
  <si>
    <t>10.8.</t>
  </si>
  <si>
    <t>ООО "Мста"</t>
  </si>
  <si>
    <t>№57/1 от 25.11.2013</t>
  </si>
  <si>
    <t>№46/2 от 24.11.2014</t>
  </si>
  <si>
    <t>10.10.</t>
  </si>
  <si>
    <t xml:space="preserve">ГВС </t>
  </si>
  <si>
    <t xml:space="preserve"> -водоснабжение </t>
  </si>
  <si>
    <t>11</t>
  </si>
  <si>
    <t>Окуловский район</t>
  </si>
  <si>
    <t xml:space="preserve"> - водоснабжение</t>
  </si>
  <si>
    <t>11.1.</t>
  </si>
  <si>
    <t xml:space="preserve"> тепловая энергия,кроме Кулотинского городского поселения</t>
  </si>
  <si>
    <t xml:space="preserve"> тепловая энергия, Кулотинское г/п</t>
  </si>
  <si>
    <t xml:space="preserve"> - ГВС, кроме Кулотинского г/п</t>
  </si>
  <si>
    <t>№ 57/8 от 09.12.2014</t>
  </si>
  <si>
    <t>ГВС ,Кулотинское г/п</t>
  </si>
  <si>
    <t>11.5.</t>
  </si>
  <si>
    <t>МУП Окуловского муниципального района "Окуловский водоканал"</t>
  </si>
  <si>
    <t xml:space="preserve"> - водоснабжение, кроме Кулотинского г/п</t>
  </si>
  <si>
    <t>водоотведение (полный цикл), кроме Кулотинского г/п</t>
  </si>
  <si>
    <t>пропуск стоков, кроме Кулотинского г/п</t>
  </si>
  <si>
    <t>11.6.</t>
  </si>
  <si>
    <t>ЗАО "ОЗМФ"</t>
  </si>
  <si>
    <t>№ 68 от 20.11.2012</t>
  </si>
  <si>
    <t>№ 64/7 от 4.12.2013</t>
  </si>
  <si>
    <t>№47/2 от 25.11.2014</t>
  </si>
  <si>
    <t>11.7.</t>
  </si>
  <si>
    <t>ООО "Окуловское ПАТП"</t>
  </si>
  <si>
    <t>№ 67 от 19.11.2012</t>
  </si>
  <si>
    <t>№57/6 от 25.11.2013</t>
  </si>
  <si>
    <t>№46/7 от 24.11.2014</t>
  </si>
  <si>
    <t>11.9.</t>
  </si>
  <si>
    <t>АО "Угловский известковый комбинат"</t>
  </si>
  <si>
    <t>№ 67/2 от 19.11.2012</t>
  </si>
  <si>
    <t>№60/3 от 28.11.2013</t>
  </si>
  <si>
    <t>№60/5 от 12.12.2014</t>
  </si>
  <si>
    <t>11.11.</t>
  </si>
  <si>
    <t>12</t>
  </si>
  <si>
    <t>Парфинский район</t>
  </si>
  <si>
    <t>12.1.</t>
  </si>
  <si>
    <t>12.2.</t>
  </si>
  <si>
    <t>ООО "МП Водоканал Парфинского района"</t>
  </si>
  <si>
    <t>№ 23 от 29.05.2013</t>
  </si>
  <si>
    <t>№ 66 от 6.12.2013</t>
  </si>
  <si>
    <t>№53 от 03.12.2014</t>
  </si>
  <si>
    <t>12.6.</t>
  </si>
  <si>
    <t>13</t>
  </si>
  <si>
    <t>Пестовский район</t>
  </si>
  <si>
    <t>13.1</t>
  </si>
  <si>
    <t xml:space="preserve"> - котельные на жидком топливе</t>
  </si>
  <si>
    <t xml:space="preserve"> - ГВС(уголь)</t>
  </si>
  <si>
    <t xml:space="preserve"> - ГВС(дрова)</t>
  </si>
  <si>
    <t xml:space="preserve"> - ГВС(мазут)</t>
  </si>
  <si>
    <t>13.1.</t>
  </si>
  <si>
    <t>13.2.</t>
  </si>
  <si>
    <t>ООО МП "Пестовский водоканал"</t>
  </si>
  <si>
    <t>№ 22 от 28.05.2013</t>
  </si>
  <si>
    <t>№ 71/1 от 13.12.2013</t>
  </si>
  <si>
    <t>№51 от 01.12.2014</t>
  </si>
  <si>
    <t>13.3.</t>
  </si>
  <si>
    <t>ООО "Транснефть-Балтика"</t>
  </si>
  <si>
    <t>№ 63/1 от 12.11.2012</t>
  </si>
  <si>
    <t>№58/4 от 26.11.2013</t>
  </si>
  <si>
    <t>№ 63 от 12.11.2012</t>
  </si>
  <si>
    <t>№58/5 от 26.11.2013</t>
  </si>
  <si>
    <t xml:space="preserve">№ 47/5 от 25.11.2014 </t>
  </si>
  <si>
    <t>13.5.</t>
  </si>
  <si>
    <t>№ 63/2 от 12.11.2012</t>
  </si>
  <si>
    <t>№55 от 15.11.2013</t>
  </si>
  <si>
    <t>13.6.</t>
  </si>
  <si>
    <t>Поддорский район</t>
  </si>
  <si>
    <t>14.1.</t>
  </si>
  <si>
    <t>14.2.</t>
  </si>
  <si>
    <t>МУП "Водоканалсервис"</t>
  </si>
  <si>
    <t>№ 22/1 от 28.05.2013</t>
  </si>
  <si>
    <t>№60 от 28.11.2013</t>
  </si>
  <si>
    <t>№48/3 от 26.11.2014</t>
  </si>
  <si>
    <t>14.3.</t>
  </si>
  <si>
    <t>Солецкий район</t>
  </si>
  <si>
    <t>15.1.</t>
  </si>
  <si>
    <t>МУП "ЖКХ Солецкого района"</t>
  </si>
  <si>
    <t>№62/3 от 16.12.2014</t>
  </si>
  <si>
    <t>15.5.</t>
  </si>
  <si>
    <t>№ 78 от 13.12.2012</t>
  </si>
  <si>
    <t>№ 78/1 от 13.12.2012</t>
  </si>
  <si>
    <t>№ 66/2 от 6.12.2013</t>
  </si>
  <si>
    <t>№54/2 от 04.12.2014</t>
  </si>
  <si>
    <t>15.6.</t>
  </si>
  <si>
    <t>Старорусский район</t>
  </si>
  <si>
    <t>передача тепловой энергии</t>
  </si>
  <si>
    <t>16.1.</t>
  </si>
  <si>
    <t>16.3.</t>
  </si>
  <si>
    <t>МУП Старорусского района "Жилищно-коммунальное хозяйство"</t>
  </si>
  <si>
    <t>16.4.</t>
  </si>
  <si>
    <t>ЗАО "Курорт Старая Русса"</t>
  </si>
  <si>
    <t>№ 67/11 от 19.11.2012</t>
  </si>
  <si>
    <t>№57/8 от 25.11.2013</t>
  </si>
  <si>
    <t>№53/2 от 03.12.2014</t>
  </si>
  <si>
    <t>№ 67/12 от 19.11.2012</t>
  </si>
  <si>
    <t>№57/7 от 25.11.2013</t>
  </si>
  <si>
    <t>№57/9 от 09.12.2014</t>
  </si>
  <si>
    <t>16.7.</t>
  </si>
  <si>
    <t>ООО "ПК РУСЬ"</t>
  </si>
  <si>
    <t>№ 69/10 от 21.11.2012</t>
  </si>
  <si>
    <t>№61/2 от 29.11.2013</t>
  </si>
  <si>
    <t>№52/1 от 02.12.2014</t>
  </si>
  <si>
    <t>16.8.</t>
  </si>
  <si>
    <t>№ 70/7 от 22.11.2012</t>
  </si>
  <si>
    <t>№ 64 от 04.12.2013</t>
  </si>
  <si>
    <t>№57 от 09.12.2014</t>
  </si>
  <si>
    <t>№ 70/8 от 22.11.2012</t>
  </si>
  <si>
    <t>№ 64/1 от 04.12.2013</t>
  </si>
  <si>
    <t>№57/1 от 09.12.2014</t>
  </si>
  <si>
    <t>16.10.</t>
  </si>
  <si>
    <t>ООО "Лакто-Новгород"</t>
  </si>
  <si>
    <t>№ 70/6 от 22.11.2012</t>
  </si>
  <si>
    <t>№ 66/4 от 6.12.2013</t>
  </si>
  <si>
    <t>№57/2 от 09.12.2014</t>
  </si>
  <si>
    <t>16.14.</t>
  </si>
  <si>
    <t>Холмский район</t>
  </si>
  <si>
    <t>17.1.</t>
  </si>
  <si>
    <t>17.2.</t>
  </si>
  <si>
    <t>МУП "Жилищно-коммунальное хозяйство Холмского района"</t>
  </si>
  <si>
    <t>водоснабжение***</t>
  </si>
  <si>
    <t>№ 25 от 31.05.2013</t>
  </si>
  <si>
    <t xml:space="preserve">№ 69 от 11.12.2013 </t>
  </si>
  <si>
    <t xml:space="preserve"> № 46/5от 24.11.2014</t>
  </si>
  <si>
    <t>17.6.</t>
  </si>
  <si>
    <t>18</t>
  </si>
  <si>
    <t>Хвойнинский район</t>
  </si>
  <si>
    <t>18.1.</t>
  </si>
  <si>
    <t>18.2.</t>
  </si>
  <si>
    <t>МУП "Хвойнинское водопроводно-канализационное хозяйство"</t>
  </si>
  <si>
    <t>№ 25/7 от 31.05.2013</t>
  </si>
  <si>
    <t>№ 68/2 от 10.12.2013</t>
  </si>
  <si>
    <t>№ 53/7 от 03.12.2014</t>
  </si>
  <si>
    <t xml:space="preserve"> -очистка стоков*</t>
  </si>
  <si>
    <t>18.4.</t>
  </si>
  <si>
    <t xml:space="preserve">№ 47/4 от 25.11.2014 </t>
  </si>
  <si>
    <t>18.5.</t>
  </si>
  <si>
    <t>№ 69/7 от 21.11.2012</t>
  </si>
  <si>
    <t>№ 71/3 от 13.12.2013</t>
  </si>
  <si>
    <t>№ 60 от 12.12.2014</t>
  </si>
  <si>
    <t>18.7.</t>
  </si>
  <si>
    <t>ООО "Производственная компания"</t>
  </si>
  <si>
    <t>18.9.</t>
  </si>
  <si>
    <t>Чудовский район</t>
  </si>
  <si>
    <t>19.1.</t>
  </si>
  <si>
    <t>тепловая энергия, (кот.№ 20.г.Чудово)</t>
  </si>
  <si>
    <t xml:space="preserve"> -ГВС</t>
  </si>
  <si>
    <t xml:space="preserve"> -ГВС (кот.№ 20.г.Чудово)</t>
  </si>
  <si>
    <t>19.2.</t>
  </si>
  <si>
    <t>МУП "Чудовский водоканал"</t>
  </si>
  <si>
    <t>№ 21 от 27.05.2013</t>
  </si>
  <si>
    <t>№62/2 от 02.12.2013</t>
  </si>
  <si>
    <t>№46 от 24.11.2014</t>
  </si>
  <si>
    <t>Маловишерский район</t>
  </si>
  <si>
    <t>20.1.</t>
  </si>
  <si>
    <t>тепловая энергия, кроме Большевишерского с/п, Бургинского с/п</t>
  </si>
  <si>
    <t>тепловая энергия, Большевишерское с/п</t>
  </si>
  <si>
    <t>20.2.</t>
  </si>
  <si>
    <t>МУП "Жилищно-коммунальное хозяйство Маловишерского муниципального района"</t>
  </si>
  <si>
    <t>№ 21/3 от 27 мая 2013</t>
  </si>
  <si>
    <t>№ 64/5 от 04.12.2013</t>
  </si>
  <si>
    <t>№52 от 02.12.2014</t>
  </si>
  <si>
    <t>20.3.</t>
  </si>
  <si>
    <t>№60 от 12.12.2014</t>
  </si>
  <si>
    <t>20.6.</t>
  </si>
  <si>
    <t>МУП "Бургинское коммунальное хозяйство"</t>
  </si>
  <si>
    <t>№32/1 от 19.10.2015</t>
  </si>
  <si>
    <t>21</t>
  </si>
  <si>
    <t>Шимский район</t>
  </si>
  <si>
    <t>21.1.</t>
  </si>
  <si>
    <t>21.2.</t>
  </si>
  <si>
    <t>ООО "МП Шимский водоканал"</t>
  </si>
  <si>
    <t>№ 23/1 от 29.05.2013</t>
  </si>
  <si>
    <t>№62/4 от 02.12.2013</t>
  </si>
  <si>
    <t>№53/1 от 03.12.2014</t>
  </si>
  <si>
    <t>21.5.</t>
  </si>
  <si>
    <t>22</t>
  </si>
  <si>
    <t>г.Великий Новгород</t>
  </si>
  <si>
    <t>22.7.</t>
  </si>
  <si>
    <t>№59 от 11.12.2014</t>
  </si>
  <si>
    <t>№70/2  от 30.12.2014</t>
  </si>
  <si>
    <t>22.8.</t>
  </si>
  <si>
    <t>ПАО "Акрон"</t>
  </si>
  <si>
    <t>№ 65/1 от 14.11.2012</t>
  </si>
  <si>
    <t>22.9.</t>
  </si>
  <si>
    <t>ОАО "Спектр"</t>
  </si>
  <si>
    <t>№ 70/9 от 22.11.2012</t>
  </si>
  <si>
    <t>№62/5 от 02.12.2013</t>
  </si>
  <si>
    <t>№51/2 от 01.12.2014</t>
  </si>
  <si>
    <t>22.11</t>
  </si>
  <si>
    <t>МУП "Новгородский водоканал"</t>
  </si>
  <si>
    <t>№ 64/1 от 13.11.2012</t>
  </si>
  <si>
    <t>№ 65/1 от 5.12.2013</t>
  </si>
  <si>
    <t>№51/5 от 01.12.2014</t>
  </si>
  <si>
    <t>22.13</t>
  </si>
  <si>
    <t>АО "Трансвит"</t>
  </si>
  <si>
    <t>тех.вода</t>
  </si>
  <si>
    <t>№ 64/5 от 13.11.2012</t>
  </si>
  <si>
    <t>№78 от 24.12.2013</t>
  </si>
  <si>
    <t>№46/3 от 24.11.2014</t>
  </si>
  <si>
    <t>22.15.</t>
  </si>
  <si>
    <t>ИП Березин Р.А.</t>
  </si>
  <si>
    <t>от 20.11.2015 N 38/6</t>
  </si>
  <si>
    <t>22.16.</t>
  </si>
  <si>
    <t>ООО "Данила-мастер"</t>
  </si>
  <si>
    <t>водоотведение (ливневка)</t>
  </si>
  <si>
    <t>22.18.</t>
  </si>
  <si>
    <t>рост тарифа</t>
  </si>
  <si>
    <t>д/нас</t>
  </si>
  <si>
    <t>общ</t>
  </si>
  <si>
    <t>с учетом данных комитет ЖКХ И ТЭК</t>
  </si>
  <si>
    <t>2014 год</t>
  </si>
  <si>
    <t>нвв тепло вкх</t>
  </si>
  <si>
    <t>средний тариф ТКН для населения</t>
  </si>
  <si>
    <t>нвв тепло вкх утилиз</t>
  </si>
  <si>
    <t>без НДС</t>
  </si>
  <si>
    <t>НВВ тепло НЖКС</t>
  </si>
  <si>
    <t>НВВ ВКХ НЖКС</t>
  </si>
  <si>
    <t>НВВ утилиз НЖКС</t>
  </si>
  <si>
    <t>НВВ теплоэнерго</t>
  </si>
  <si>
    <t>НВВ водоканал</t>
  </si>
  <si>
    <t>НВВ ТГК</t>
  </si>
  <si>
    <t>НВВ прочие тепло</t>
  </si>
  <si>
    <t>НВВ прочие вкх</t>
  </si>
  <si>
    <t>НВВ утилизация</t>
  </si>
  <si>
    <r>
      <t>Индекс роста</t>
    </r>
    <r>
      <rPr>
        <b/>
        <sz val="10"/>
        <rFont val="Arial Cyr"/>
        <charset val="204"/>
      </rPr>
      <t xml:space="preserve"> общего тарифа </t>
    </r>
    <r>
      <rPr>
        <sz val="10"/>
        <rFont val="Arial Cyr"/>
        <charset val="204"/>
      </rPr>
      <t>декабрь 2012 к декабрю 2011</t>
    </r>
  </si>
  <si>
    <r>
      <t xml:space="preserve">Индекс роста </t>
    </r>
    <r>
      <rPr>
        <b/>
        <sz val="10"/>
        <rFont val="Arial Cyr"/>
        <charset val="204"/>
      </rPr>
      <t xml:space="preserve">тарифа для населения </t>
    </r>
    <r>
      <rPr>
        <sz val="10"/>
        <rFont val="Arial Cyr"/>
        <charset val="204"/>
      </rPr>
      <t>декабрь 2012 к декабрю 2011</t>
    </r>
  </si>
  <si>
    <t>Средний тариф 1 период 2012 год (для прочих групп потребителей,кроме населения)</t>
  </si>
  <si>
    <t>Средний тариф 2 период 2012 год (для прочих групп потребителей, кроме населения)</t>
  </si>
  <si>
    <t>Средний тариф 3 период 2012 год (для прочих групп потребителей, кроме населения)</t>
  </si>
  <si>
    <t>Средний тариф 1 период 2012 год (для населения, с НДС)</t>
  </si>
  <si>
    <t>Средний тариф 2 период 2012 год (для населения, с НДС)</t>
  </si>
  <si>
    <t>Средний тариф 3 период 2012 год (для населения, с НДС)</t>
  </si>
  <si>
    <t xml:space="preserve">Средний тариф 1 период 2012 год </t>
  </si>
  <si>
    <t xml:space="preserve">Средний тариф 2 период 2012 год </t>
  </si>
  <si>
    <t xml:space="preserve">Средний тариф 3 период 2012 год </t>
  </si>
  <si>
    <t>Средний тариф 1 период 2013 год (для прочих групп потребителей,кроме населения)</t>
  </si>
  <si>
    <t>Средний тариф 2 период 2013 год (для прочих групп потребителей, кроме населения)</t>
  </si>
  <si>
    <t>Средний тариф 1 период 2013 год (для населения, с НДС)</t>
  </si>
  <si>
    <t>Средний тариф 2 период 2013 год (для населения, с НДС)</t>
  </si>
  <si>
    <t xml:space="preserve">Средний тариф 1 период 2013 год </t>
  </si>
  <si>
    <t xml:space="preserve">Средний тариф 2 период 2013 год </t>
  </si>
  <si>
    <r>
      <t xml:space="preserve">1 пг </t>
    </r>
    <r>
      <rPr>
        <b/>
        <sz val="10"/>
        <rFont val="Arial Cyr"/>
        <charset val="204"/>
      </rPr>
      <t>2016</t>
    </r>
    <r>
      <rPr>
        <sz val="10"/>
        <rFont val="Arial Cyr"/>
        <charset val="204"/>
      </rPr>
      <t xml:space="preserve"> средний тариф</t>
    </r>
    <r>
      <rPr>
        <u/>
        <sz val="10"/>
        <rFont val="Arial Cyr"/>
        <charset val="204"/>
      </rPr>
      <t xml:space="preserve"> (общий) </t>
    </r>
    <r>
      <rPr>
        <sz val="10"/>
        <rFont val="Arial Cyr"/>
        <charset val="204"/>
      </rPr>
      <t>по области для слайдов без НДС</t>
    </r>
  </si>
  <si>
    <r>
      <t>1 пг 2016 средний тариф</t>
    </r>
    <r>
      <rPr>
        <b/>
        <u/>
        <sz val="10"/>
        <rFont val="Arial Cyr"/>
        <charset val="204"/>
      </rPr>
      <t xml:space="preserve"> (население) </t>
    </r>
    <r>
      <rPr>
        <b/>
        <sz val="10"/>
        <rFont val="Arial Cyr"/>
        <charset val="204"/>
      </rPr>
      <t>по области для слайдов с НДС</t>
    </r>
  </si>
  <si>
    <r>
      <t xml:space="preserve">2 пг </t>
    </r>
    <r>
      <rPr>
        <b/>
        <sz val="10"/>
        <rFont val="Arial Cyr"/>
        <charset val="204"/>
      </rPr>
      <t>2016</t>
    </r>
    <r>
      <rPr>
        <sz val="10"/>
        <rFont val="Arial Cyr"/>
        <charset val="204"/>
      </rPr>
      <t xml:space="preserve"> средний тариф по области для слайдов без НДС</t>
    </r>
  </si>
  <si>
    <r>
      <t>2 пг 2016 средний тариф</t>
    </r>
    <r>
      <rPr>
        <b/>
        <u/>
        <sz val="10"/>
        <rFont val="Arial Cyr"/>
        <charset val="204"/>
      </rPr>
      <t xml:space="preserve"> (население) </t>
    </r>
    <r>
      <rPr>
        <b/>
        <sz val="10"/>
        <rFont val="Arial Cyr"/>
        <charset val="204"/>
      </rPr>
      <t>по области для слайдов с НДС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</si>
  <si>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2012</t>
    </r>
    <r>
      <rPr>
        <b/>
        <sz val="10"/>
        <rFont val="Arial Cyr"/>
        <charset val="204"/>
      </rPr>
      <t xml:space="preserve"> 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2012 г</t>
    </r>
  </si>
  <si>
    <r>
      <t>индекс роста</t>
    </r>
    <r>
      <rPr>
        <b/>
        <sz val="10"/>
        <rFont val="Arial Cyr"/>
        <charset val="204"/>
      </rPr>
      <t xml:space="preserve"> 3 периода </t>
    </r>
    <r>
      <rPr>
        <sz val="10"/>
        <rFont val="Arial Cyr"/>
        <charset val="204"/>
      </rPr>
      <t xml:space="preserve">2012 </t>
    </r>
    <r>
      <rPr>
        <b/>
        <sz val="10"/>
        <rFont val="Arial Cyr"/>
        <charset val="204"/>
      </rPr>
      <t xml:space="preserve"> к 2 периоду</t>
    </r>
    <r>
      <rPr>
        <sz val="10"/>
        <rFont val="Arial Cyr"/>
        <charset val="204"/>
      </rPr>
      <t xml:space="preserve"> 2012 г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</si>
  <si>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2013</t>
    </r>
    <r>
      <rPr>
        <b/>
        <sz val="10"/>
        <rFont val="Arial Cyr"/>
        <charset val="204"/>
      </rPr>
      <t xml:space="preserve"> 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2013 г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</si>
  <si>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2014</t>
    </r>
    <r>
      <rPr>
        <b/>
        <sz val="10"/>
        <rFont val="Arial Cyr"/>
        <charset val="204"/>
      </rPr>
      <t xml:space="preserve"> 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2014 г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</si>
  <si>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2015</t>
    </r>
    <r>
      <rPr>
        <b/>
        <sz val="10"/>
        <rFont val="Arial Cyr"/>
        <charset val="204"/>
      </rPr>
      <t xml:space="preserve"> 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2015 г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</si>
  <si>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2015</t>
    </r>
    <r>
      <rPr>
        <b/>
        <sz val="10"/>
        <rFont val="Arial Cyr"/>
        <charset val="204"/>
      </rPr>
      <t xml:space="preserve">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2015 г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</si>
  <si>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2016</t>
    </r>
    <r>
      <rPr>
        <b/>
        <sz val="10"/>
        <rFont val="Arial Cyr"/>
        <charset val="204"/>
      </rPr>
      <t xml:space="preserve"> 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2016 г</t>
    </r>
  </si>
  <si>
    <r>
      <t xml:space="preserve">индекс роста </t>
    </r>
    <r>
      <rPr>
        <b/>
        <sz val="10"/>
        <rFont val="Arial Cyr"/>
        <charset val="204"/>
      </rPr>
      <t xml:space="preserve">2 период </t>
    </r>
    <r>
      <rPr>
        <sz val="10"/>
        <rFont val="Arial Cyr"/>
        <charset val="204"/>
      </rPr>
      <t>2016</t>
    </r>
    <r>
      <rPr>
        <b/>
        <sz val="10"/>
        <rFont val="Arial Cyr"/>
        <charset val="204"/>
      </rPr>
      <t xml:space="preserve"> к 1 периоду</t>
    </r>
    <r>
      <rPr>
        <b/>
        <i/>
        <sz val="10"/>
        <rFont val="Arial Cyr"/>
        <charset val="204"/>
      </rPr>
      <t xml:space="preserve"> </t>
    </r>
    <r>
      <rPr>
        <sz val="10"/>
        <rFont val="Arial Cyr"/>
        <charset val="204"/>
      </rPr>
      <t>2016 г</t>
    </r>
  </si>
  <si>
    <t>ООО "Строительное управление 53"</t>
  </si>
  <si>
    <t>ФГБУ ЦЖКУ МО РФ</t>
  </si>
  <si>
    <t xml:space="preserve"> - ГВС (д. Ижицы)</t>
  </si>
  <si>
    <t>водоотведение (цикл?)</t>
  </si>
  <si>
    <t>тепловая энергия ( д.Загорье)</t>
  </si>
  <si>
    <t xml:space="preserve">тепловая энергия  </t>
  </si>
  <si>
    <t>МУП КХНР</t>
  </si>
  <si>
    <t>водоотведение (без очистки)</t>
  </si>
  <si>
    <t>ООО "ЭнергоИнвест"</t>
  </si>
  <si>
    <t>ООО "Тепловая Компания Новгородская" КОНЦЕССИЯ)</t>
  </si>
  <si>
    <t>ООО "Новострой" ( ул. Маловишерская , д.5а)</t>
  </si>
  <si>
    <t>ООО "Компаньон-Н" (мкрн. Ивушки)</t>
  </si>
  <si>
    <t>тепловая энергия (кот. № 8)</t>
  </si>
  <si>
    <t>очистка</t>
  </si>
  <si>
    <t xml:space="preserve">водоотведение </t>
  </si>
  <si>
    <t>тепловая энергия Ивушки</t>
  </si>
  <si>
    <t>тк</t>
  </si>
  <si>
    <t>тгк</t>
  </si>
  <si>
    <t>проч</t>
  </si>
  <si>
    <t>полезный отпуск</t>
  </si>
  <si>
    <t>нвв</t>
  </si>
  <si>
    <t>средневзвеш</t>
  </si>
  <si>
    <t xml:space="preserve"> Тариф для иных групп потребителей, кроме населения 2019 год, руб/Гкал,руб/м3, без НДС</t>
  </si>
  <si>
    <t>Тариф для населения 2019 год, руб/Гкал ,руб/м3 с НДС</t>
  </si>
  <si>
    <t>с 01.01.2019-30.06.2019</t>
  </si>
  <si>
    <t>с 01.07.2019-31.12.2019</t>
  </si>
  <si>
    <t xml:space="preserve"> Тариф для иных групп потребителей, кроме населения 2020 год, руб/Гкал,руб/м3, без НДС</t>
  </si>
  <si>
    <t>Тариф для населения 2020 год, руб/Гкал ,руб/м3 с НДС</t>
  </si>
  <si>
    <t>с 01.01.2020-30.06.2020</t>
  </si>
  <si>
    <t>с 01.07.2020-31.12.2020</t>
  </si>
  <si>
    <t xml:space="preserve"> Тариф для иных групп потребителей, кроме населения 2021 год, руб/Гкал,руб/м3, без НДС</t>
  </si>
  <si>
    <t>с 01.01.2021-30.06.2021</t>
  </si>
  <si>
    <t>с 01.07.2021-31.12.2021</t>
  </si>
  <si>
    <t>Тариф для населения 2021 год, руб/Гкал ,руб/м3 с НДС</t>
  </si>
  <si>
    <t>ООО "ТК Северная"</t>
  </si>
  <si>
    <t>тепловая энергия Трубичино (концессия)</t>
  </si>
  <si>
    <t>ГВС, г.Великий Новгород кот.27</t>
  </si>
  <si>
    <t xml:space="preserve">водоотведение пц  </t>
  </si>
  <si>
    <t>водоотведение ( полный цикл)</t>
  </si>
  <si>
    <t>ООО "Тепловая компания "Новгородская"</t>
  </si>
  <si>
    <t>ИП Селенин А.В.</t>
  </si>
  <si>
    <t>АО "НордЭнерго"</t>
  </si>
  <si>
    <t>водоотведение полный цикл</t>
  </si>
  <si>
    <t>ООО "Компаньон-Н" ( ул. Шелонская д.1 корп.1)</t>
  </si>
  <si>
    <t>тепловая энергия (кот.поз. 7.2 ул.Ломоносова)</t>
  </si>
  <si>
    <t>ГВС (кот.поз. 7.2 ул.Ломоносова)</t>
  </si>
  <si>
    <t>тепловая энергия (кот.поз. 2 ул.Космонавтов)</t>
  </si>
  <si>
    <t>ГВС (кот.2 ул.Космонавтов)</t>
  </si>
  <si>
    <t>тепловая энергия (кот.№3 ул.Б.Санкт-Петербургская)</t>
  </si>
  <si>
    <t>теловая энергия (кот.4 ул.Молодежная)</t>
  </si>
  <si>
    <t xml:space="preserve">ГВС (кот.4 ул.Молодежная) </t>
  </si>
  <si>
    <t>от 18.12.2018 №65/12</t>
  </si>
  <si>
    <t>от 14.12.2018 №63/3</t>
  </si>
  <si>
    <t>от 07.12.2018 №60</t>
  </si>
  <si>
    <t>от 12.12.2018 №62/1</t>
  </si>
  <si>
    <t>от 04.12.2018 №57/5</t>
  </si>
  <si>
    <t>от 11.05.2016 №9</t>
  </si>
  <si>
    <t>от 29.06.2016 №21/5</t>
  </si>
  <si>
    <t>от 18.12.2018 №65/13</t>
  </si>
  <si>
    <t>от 18.12.2018 №65/1</t>
  </si>
  <si>
    <t>-</t>
  </si>
  <si>
    <t>ООО "Экосити"</t>
  </si>
  <si>
    <t xml:space="preserve">обращение с ТКО 4 зона </t>
  </si>
  <si>
    <t>ООО "Экосервис"</t>
  </si>
  <si>
    <t xml:space="preserve">обращение с ТКО 2 зона </t>
  </si>
  <si>
    <t>обращение с ТКО 3 зона</t>
  </si>
  <si>
    <t>ООО "Спецтранс"</t>
  </si>
  <si>
    <t xml:space="preserve">обращение с ТКО 1 зона </t>
  </si>
  <si>
    <t xml:space="preserve">обращение с ТКО 3 зона </t>
  </si>
  <si>
    <t>обращение с ТКО 1 зона</t>
  </si>
  <si>
    <t xml:space="preserve">ООО "Экосити" </t>
  </si>
  <si>
    <t>от 18.12.2018 №65/2</t>
  </si>
  <si>
    <t>от 06.11.2018 №41</t>
  </si>
  <si>
    <t>от 11.12.2018 №61</t>
  </si>
  <si>
    <t>от 11.12.2017 №47/3</t>
  </si>
  <si>
    <t>от 11.12.2017 №47/5</t>
  </si>
  <si>
    <t>от 27.11.2018 №53/2</t>
  </si>
  <si>
    <t>от 27.11.2018 №53/1</t>
  </si>
  <si>
    <t>от 01.11.2018 №40/5</t>
  </si>
  <si>
    <t>от 06.12.2018 №59/2</t>
  </si>
  <si>
    <t>от 12.11.2018 №44/1</t>
  </si>
  <si>
    <t>от 11.12.2017 №47/4</t>
  </si>
  <si>
    <t>от 11.12.2018 №61/2</t>
  </si>
  <si>
    <t>от 07.11.2017 №37</t>
  </si>
  <si>
    <t>от 04.12.2018 №57</t>
  </si>
  <si>
    <t>от 05.12.2018 №58</t>
  </si>
  <si>
    <t>от 17.12.2018 №64</t>
  </si>
  <si>
    <t>от 13.11.2018 №45/3</t>
  </si>
  <si>
    <t>от 06.11.2018 №41/2</t>
  </si>
  <si>
    <t>от 08.02.2017 №5</t>
  </si>
  <si>
    <t>от 01.11.2018 №40/2</t>
  </si>
  <si>
    <t>от 25.10.2018 №36/1</t>
  </si>
  <si>
    <t>от 06.12.2018 №59/5</t>
  </si>
  <si>
    <t>от 18.12.2018 №65</t>
  </si>
  <si>
    <t>от 20.11.2018 №49</t>
  </si>
  <si>
    <t>от 26.11.2018 №52</t>
  </si>
  <si>
    <t>от 26.11.2018 №52/1</t>
  </si>
  <si>
    <t>от 08.11.2018 №42/8</t>
  </si>
  <si>
    <t>от 01.11.2018 №40/3</t>
  </si>
  <si>
    <t>от 13.12.2017 №48/4</t>
  </si>
  <si>
    <t>от 30.11.2018 №55/2</t>
  </si>
  <si>
    <t>от 06.12.2018 №59/3</t>
  </si>
  <si>
    <t>от 09.09.2016 №28/1</t>
  </si>
  <si>
    <t>от 13.11.2018 №45/5</t>
  </si>
  <si>
    <t>от 13.12.2017 №48/5</t>
  </si>
  <si>
    <t>от 14.12.2018 №63/5</t>
  </si>
  <si>
    <t>от 01.06.2016 №12</t>
  </si>
  <si>
    <t>от 13.12.2017 №48/9</t>
  </si>
  <si>
    <t xml:space="preserve"> тепловая энергия д.Быково</t>
  </si>
  <si>
    <t>от 25.10.2018 №36/3</t>
  </si>
  <si>
    <t>от 31.08.2018 №27</t>
  </si>
  <si>
    <t>от 17.12.2018 №64/2</t>
  </si>
  <si>
    <t>от 30.10.2018 №38/3</t>
  </si>
  <si>
    <t>от 04.12.2018 №57/7</t>
  </si>
  <si>
    <t>от 04.10.2016 №33/1</t>
  </si>
  <si>
    <t>от 15.11.2018 №46/3</t>
  </si>
  <si>
    <t>от 04.12.2018 №57/2</t>
  </si>
  <si>
    <t>от 20.11.2018 №49/1</t>
  </si>
  <si>
    <t>от 08.11.2018 №42/9</t>
  </si>
  <si>
    <t>от 04.12.2018 №57/4</t>
  </si>
  <si>
    <t>от 01.11.2018 №40/6</t>
  </si>
  <si>
    <t>от 29.11.2018 №54/2</t>
  </si>
  <si>
    <t>от 04.12.2018 №57/3</t>
  </si>
  <si>
    <t>тепловая энергия с.Песь</t>
  </si>
  <si>
    <t xml:space="preserve"> -водоснабжение с.Песь</t>
  </si>
  <si>
    <t>от 30.10.2018 №38/2</t>
  </si>
  <si>
    <t>от 08.11.2018 №42</t>
  </si>
  <si>
    <t>от 09.12.2016 №54/6</t>
  </si>
  <si>
    <t>от 14.12.2018 №63/1</t>
  </si>
  <si>
    <t>от 09.11.2018 №43</t>
  </si>
  <si>
    <t>от 01.11.2018 №40/7</t>
  </si>
  <si>
    <t>от 13.11.2018 №45/1</t>
  </si>
  <si>
    <t>от 22.11.2018 №50</t>
  </si>
  <si>
    <t>от 06.12.2017 №46/1</t>
  </si>
  <si>
    <t>от 12.11.2018 №44</t>
  </si>
  <si>
    <t>от 26.10.2017 №35/1</t>
  </si>
  <si>
    <t>от 26.10.2017 №35</t>
  </si>
  <si>
    <t>от 08.11.2018 №42/1</t>
  </si>
  <si>
    <t>от 14.12.2018 №63/2</t>
  </si>
  <si>
    <t>от 29.11.2018 №54/1</t>
  </si>
  <si>
    <t>от 11.05.2016 №9/1</t>
  </si>
  <si>
    <t>от 06.12.2018 №59</t>
  </si>
  <si>
    <t>от 23.11.2018 №51/1</t>
  </si>
  <si>
    <t>от 23.09.2016 №31/2</t>
  </si>
  <si>
    <t>от 23.09.2016 №31/1</t>
  </si>
  <si>
    <t>от 23.11.2018 №51/2</t>
  </si>
  <si>
    <t>от 29.06.2017 №18/3</t>
  </si>
  <si>
    <t>от 24.11.2017 №44</t>
  </si>
  <si>
    <t>от 29.06.2017 №18/2</t>
  </si>
  <si>
    <t>от 18.12.2018 №65/3</t>
  </si>
  <si>
    <t>от 24.11.2017 №44/1</t>
  </si>
  <si>
    <t>от 24.11.2017 №44/2</t>
  </si>
  <si>
    <t>от 27.09.2017 №28</t>
  </si>
  <si>
    <t>от 07.11.2017 №37/1</t>
  </si>
  <si>
    <t>ООО "Компаньон-Н"</t>
  </si>
  <si>
    <t>от 29.06.2017 18/3</t>
  </si>
  <si>
    <t>от 29.06.2017 18/2</t>
  </si>
  <si>
    <t>Григорово (Ермолинское с/п) тепловая энергия котельная №16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</si>
</sst>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0"/>
    <numFmt numFmtId="169" formatCode="0.0"/>
    <numFmt numFmtId="170" formatCode="0.000"/>
    <numFmt numFmtId="171" formatCode="0.00000"/>
    <numFmt numFmtId="172" formatCode="0.000000"/>
    <numFmt numFmtId="173" formatCode="0.0%"/>
    <numFmt numFmtId="174" formatCode="0.0%_);\(0.0%\)"/>
    <numFmt numFmtId="175" formatCode="#,##0_);[Red]\(#,##0\)"/>
    <numFmt numFmtId="176" formatCode="#,##0;\(#,##0\)"/>
    <numFmt numFmtId="177" formatCode="_-* #,##0.00[$€-1]_-;\-* #,##0.00[$€-1]_-;_-* &quot;-&quot;??[$€-1]_-"/>
    <numFmt numFmtId="178" formatCode="_-* #,##0.00\ _$_-;\-* #,##0.00\ _$_-;_-* &quot;-&quot;??\ _$_-;_-@_-"/>
    <numFmt numFmtId="179" formatCode="#.##0\.00"/>
    <numFmt numFmtId="180" formatCode="#\.00"/>
    <numFmt numFmtId="181" formatCode="\$#\.00"/>
    <numFmt numFmtId="182" formatCode="#\."/>
    <numFmt numFmtId="183" formatCode="General_)"/>
    <numFmt numFmtId="184" formatCode="_-* #,##0&quot;đ.&quot;_-;\-* #,##0&quot;đ.&quot;_-;_-* &quot;-&quot;&quot;đ.&quot;_-;_-@_-"/>
    <numFmt numFmtId="185" formatCode="_-* #,##0.00&quot;đ.&quot;_-;\-* #,##0.00&quot;đ.&quot;_-;_-* &quot;-&quot;??&quot;đ.&quot;_-;_-@_-"/>
    <numFmt numFmtId="186" formatCode="&quot;$&quot;#,##0_);[Red]\(&quot;$&quot;#,##0\)"/>
    <numFmt numFmtId="187" formatCode="\$#,##0\ ;\(\$#,##0\)"/>
    <numFmt numFmtId="188" formatCode="#,##0.000[$р.-419];\-#,##0.000[$р.-419]"/>
    <numFmt numFmtId="189" formatCode="_-* #,##0.0\ _$_-;\-* #,##0.0\ _$_-;_-* &quot;-&quot;??\ _$_-;_-@_-"/>
    <numFmt numFmtId="190" formatCode="#,##0.0_);\(#,##0.0\)"/>
    <numFmt numFmtId="191" formatCode="#,##0_ ;[Red]\-#,##0\ "/>
    <numFmt numFmtId="192" formatCode="#,##0_);[Blue]\(#,##0\)"/>
    <numFmt numFmtId="193" formatCode="_-* #,##0_-;\-* #,##0_-;_-* &quot;-&quot;_-;_-@_-"/>
    <numFmt numFmtId="194" formatCode="_-* #,##0.00_-;\-* #,##0.00_-;_-* &quot;-&quot;??_-;_-@_-"/>
    <numFmt numFmtId="195" formatCode="#,##0__\ \ \ \ "/>
    <numFmt numFmtId="196" formatCode="_-&quot;£&quot;* #,##0_-;\-&quot;£&quot;* #,##0_-;_-&quot;£&quot;* &quot;-&quot;_-;_-@_-"/>
    <numFmt numFmtId="197" formatCode="_-&quot;£&quot;* #,##0.00_-;\-&quot;£&quot;* #,##0.00_-;_-&quot;£&quot;* &quot;-&quot;??_-;_-@_-"/>
    <numFmt numFmtId="198" formatCode="#,##0.00&quot;т.р.&quot;;\-#,##0.00&quot;т.р.&quot;"/>
    <numFmt numFmtId="199" formatCode="#,##0.0;[Red]#,##0.0"/>
    <numFmt numFmtId="200" formatCode="_-* #,##0_đ_._-;\-* #,##0_đ_._-;_-* &quot;-&quot;_đ_._-;_-@_-"/>
    <numFmt numFmtId="201" formatCode="_-* #,##0.00_đ_._-;\-* #,##0.00_đ_._-;_-* &quot;-&quot;??_đ_._-;_-@_-"/>
    <numFmt numFmtId="202" formatCode="\(#,##0.0\)"/>
    <numFmt numFmtId="203" formatCode="#,##0\ &quot;?.&quot;;\-#,##0\ &quot;?.&quot;"/>
    <numFmt numFmtId="204" formatCode="#,##0______;;&quot;------------      &quot;"/>
    <numFmt numFmtId="205" formatCode="#,##0.000_ ;\-#,##0.000\ "/>
    <numFmt numFmtId="206" formatCode="#,##0.00_ ;[Red]\-#,##0.00\ "/>
    <numFmt numFmtId="207" formatCode="_(&quot;р.&quot;* #,##0.00_);_(&quot;р.&quot;* \(#,##0.00\);_(&quot;р.&quot;* &quot;-&quot;??_);_(@_)"/>
    <numFmt numFmtId="208" formatCode="#,##0.000"/>
    <numFmt numFmtId="209" formatCode="_-* #,##0\ _р_._-;\-* #,##0\ _р_._-;_-* &quot;-&quot;\ _р_._-;_-@_-"/>
    <numFmt numFmtId="210" formatCode="_-* #,##0.00\ _р_._-;\-* #,##0.00\ _р_._-;_-* &quot;-&quot;??\ _р_._-;_-@_-"/>
    <numFmt numFmtId="211" formatCode="_(* #,##0.00_);_(* \(#,##0.00\);_(* &quot;-&quot;??_);_(@_)"/>
    <numFmt numFmtId="212" formatCode="_-* #,##0\ _$_-;\-* #,##0\ _$_-;_-* &quot;-&quot;\ _$_-;_-@_-"/>
    <numFmt numFmtId="213" formatCode="#,##0.00_ ;\-#,##0.00\ "/>
    <numFmt numFmtId="214" formatCode="#,##0.0"/>
    <numFmt numFmtId="215" formatCode="%#\.00"/>
  </numFmts>
  <fonts count="1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0"/>
      <color theme="0"/>
      <name val="Arial Cyr"/>
      <charset val="204"/>
    </font>
    <font>
      <b/>
      <sz val="12"/>
      <name val="Times New Roman"/>
      <family val="1"/>
      <charset val="204"/>
    </font>
    <font>
      <u/>
      <sz val="10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0"/>
      <name val="Arial Cyr"/>
    </font>
    <font>
      <sz val="9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Times New Roman Cyr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u/>
      <sz val="9"/>
      <color rgb="FF0000FF"/>
      <name val="Tahoma"/>
      <family val="2"/>
      <charset val="204"/>
    </font>
    <font>
      <sz val="14"/>
      <name val="Arial Cyr"/>
      <family val="2"/>
      <charset val="204"/>
    </font>
    <font>
      <b/>
      <u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7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theme="0" tint="-0.24994659260841701"/>
        <bgColor indexed="65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425">
    <xf numFmtId="0" fontId="0" fillId="0" borderId="0"/>
    <xf numFmtId="0" fontId="2" fillId="0" borderId="0"/>
    <xf numFmtId="0" fontId="2" fillId="0" borderId="0"/>
    <xf numFmtId="0" fontId="15" fillId="0" borderId="0"/>
    <xf numFmtId="0" fontId="16" fillId="0" borderId="0"/>
    <xf numFmtId="0" fontId="22" fillId="0" borderId="0"/>
    <xf numFmtId="0" fontId="15" fillId="0" borderId="0"/>
    <xf numFmtId="173" fontId="23" fillId="0" borderId="0">
      <alignment vertical="top"/>
    </xf>
    <xf numFmtId="173" fontId="24" fillId="0" borderId="0">
      <alignment vertical="top"/>
    </xf>
    <xf numFmtId="174" fontId="24" fillId="5" borderId="0">
      <alignment vertical="top"/>
    </xf>
    <xf numFmtId="173" fontId="24" fillId="2" borderId="0">
      <alignment vertical="top"/>
    </xf>
    <xf numFmtId="40" fontId="25" fillId="0" borderId="0" applyFont="0" applyFill="0" applyBorder="0" applyAlignment="0" applyProtection="0"/>
    <xf numFmtId="0" fontId="26" fillId="0" borderId="0"/>
    <xf numFmtId="0" fontId="27" fillId="0" borderId="0"/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6" fontId="15" fillId="6" borderId="15">
      <alignment wrapText="1"/>
      <protection locked="0"/>
    </xf>
    <xf numFmtId="176" fontId="15" fillId="6" borderId="15">
      <alignment wrapText="1"/>
      <protection locked="0"/>
    </xf>
    <xf numFmtId="176" fontId="15" fillId="6" borderId="15">
      <alignment wrapText="1"/>
      <protection locked="0"/>
    </xf>
    <xf numFmtId="0" fontId="22" fillId="0" borderId="0"/>
    <xf numFmtId="0" fontId="27" fillId="0" borderId="0"/>
    <xf numFmtId="177" fontId="27" fillId="0" borderId="0"/>
    <xf numFmtId="0" fontId="27" fillId="0" borderId="0"/>
    <xf numFmtId="177" fontId="27" fillId="0" borderId="0"/>
    <xf numFmtId="0" fontId="27" fillId="0" borderId="0"/>
    <xf numFmtId="177" fontId="27" fillId="0" borderId="0"/>
    <xf numFmtId="0" fontId="27" fillId="0" borderId="0"/>
    <xf numFmtId="177" fontId="27" fillId="0" borderId="0"/>
    <xf numFmtId="0" fontId="16" fillId="0" borderId="0"/>
    <xf numFmtId="0" fontId="22" fillId="0" borderId="0"/>
    <xf numFmtId="177" fontId="22" fillId="0" borderId="0"/>
    <xf numFmtId="0" fontId="22" fillId="0" borderId="0"/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0" fontId="22" fillId="0" borderId="0"/>
    <xf numFmtId="177" fontId="22" fillId="0" borderId="0"/>
    <xf numFmtId="0" fontId="22" fillId="0" borderId="0"/>
    <xf numFmtId="177" fontId="22" fillId="0" borderId="0"/>
    <xf numFmtId="0" fontId="27" fillId="0" borderId="0"/>
    <xf numFmtId="177" fontId="27" fillId="0" borderId="0"/>
    <xf numFmtId="0" fontId="27" fillId="0" borderId="0"/>
    <xf numFmtId="177" fontId="27" fillId="0" borderId="0"/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0" fontId="27" fillId="0" borderId="0"/>
    <xf numFmtId="177" fontId="27" fillId="0" borderId="0"/>
    <xf numFmtId="0" fontId="27" fillId="0" borderId="0"/>
    <xf numFmtId="0" fontId="27" fillId="0" borderId="0"/>
    <xf numFmtId="177" fontId="27" fillId="0" borderId="0"/>
    <xf numFmtId="0" fontId="27" fillId="0" borderId="0"/>
    <xf numFmtId="177" fontId="27" fillId="0" borderId="0"/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38" fontId="23" fillId="0" borderId="0">
      <alignment vertical="top"/>
    </xf>
    <xf numFmtId="0" fontId="27" fillId="0" borderId="0"/>
    <xf numFmtId="177" fontId="27" fillId="0" borderId="0"/>
    <xf numFmtId="0" fontId="27" fillId="0" borderId="0"/>
    <xf numFmtId="0" fontId="22" fillId="0" borderId="0"/>
    <xf numFmtId="177" fontId="22" fillId="0" borderId="0"/>
    <xf numFmtId="0" fontId="22" fillId="0" borderId="0"/>
    <xf numFmtId="177" fontId="22" fillId="0" borderId="0"/>
    <xf numFmtId="0" fontId="27" fillId="0" borderId="0"/>
    <xf numFmtId="177" fontId="27" fillId="0" borderId="0"/>
    <xf numFmtId="0" fontId="22" fillId="0" borderId="0"/>
    <xf numFmtId="177" fontId="22" fillId="0" borderId="0"/>
    <xf numFmtId="0" fontId="22" fillId="0" borderId="0"/>
    <xf numFmtId="177" fontId="22" fillId="0" borderId="0"/>
    <xf numFmtId="0" fontId="2" fillId="0" borderId="0"/>
    <xf numFmtId="0" fontId="27" fillId="0" borderId="0"/>
    <xf numFmtId="177" fontId="27" fillId="0" borderId="0"/>
    <xf numFmtId="178" fontId="2" fillId="0" borderId="0" applyFont="0" applyFill="0" applyBorder="0" applyAlignment="0" applyProtection="0"/>
    <xf numFmtId="179" fontId="28" fillId="0" borderId="0">
      <protection locked="0"/>
    </xf>
    <xf numFmtId="180" fontId="28" fillId="0" borderId="0">
      <protection locked="0"/>
    </xf>
    <xf numFmtId="179" fontId="28" fillId="0" borderId="0">
      <protection locked="0"/>
    </xf>
    <xf numFmtId="179" fontId="28" fillId="0" borderId="0">
      <protection locked="0"/>
    </xf>
    <xf numFmtId="180" fontId="28" fillId="0" borderId="0">
      <protection locked="0"/>
    </xf>
    <xf numFmtId="180" fontId="28" fillId="0" borderId="0">
      <protection locked="0"/>
    </xf>
    <xf numFmtId="181" fontId="28" fillId="0" borderId="0">
      <protection locked="0"/>
    </xf>
    <xf numFmtId="181" fontId="28" fillId="0" borderId="0">
      <protection locked="0"/>
    </xf>
    <xf numFmtId="182" fontId="28" fillId="0" borderId="34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9" fillId="0" borderId="0">
      <protection locked="0"/>
    </xf>
    <xf numFmtId="182" fontId="28" fillId="0" borderId="34">
      <protection locked="0"/>
    </xf>
    <xf numFmtId="182" fontId="28" fillId="0" borderId="34">
      <protection locked="0"/>
    </xf>
    <xf numFmtId="0" fontId="30" fillId="17" borderId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5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0"/>
    <xf numFmtId="183" fontId="34" fillId="0" borderId="35">
      <protection locked="0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35" fillId="19" borderId="0" applyNumberFormat="0" applyBorder="0" applyAlignment="0" applyProtection="0"/>
    <xf numFmtId="10" fontId="36" fillId="0" borderId="0" applyNumberFormat="0" applyFill="0" applyBorder="0" applyAlignment="0"/>
    <xf numFmtId="0" fontId="37" fillId="0" borderId="0"/>
    <xf numFmtId="0" fontId="38" fillId="36" borderId="36" applyNumberFormat="0" applyAlignment="0" applyProtection="0"/>
    <xf numFmtId="0" fontId="39" fillId="37" borderId="37" applyNumberFormat="0" applyAlignment="0" applyProtection="0"/>
    <xf numFmtId="0" fontId="40" fillId="0" borderId="9">
      <alignment horizontal="left" vertical="center"/>
    </xf>
    <xf numFmtId="165" fontId="15" fillId="0" borderId="0" applyFont="0" applyFill="0" applyBorder="0" applyAlignment="0" applyProtection="0"/>
    <xf numFmtId="0" fontId="41" fillId="0" borderId="0" applyFont="0" applyFill="0" applyBorder="0" applyAlignment="0" applyProtection="0">
      <alignment horizontal="right"/>
    </xf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>
      <alignment horizontal="right"/>
    </xf>
    <xf numFmtId="0" fontId="41" fillId="0" borderId="0" applyFont="0" applyFill="0" applyBorder="0" applyAlignment="0" applyProtection="0"/>
    <xf numFmtId="167" fontId="15" fillId="0" borderId="0" applyFont="0" applyFill="0" applyBorder="0" applyAlignment="0" applyProtection="0"/>
    <xf numFmtId="3" fontId="42" fillId="0" borderId="0" applyFont="0" applyFill="0" applyBorder="0" applyAlignment="0" applyProtection="0"/>
    <xf numFmtId="183" fontId="43" fillId="16" borderId="35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41" fillId="0" borderId="0" applyFont="0" applyFill="0" applyBorder="0" applyAlignment="0" applyProtection="0">
      <alignment horizontal="right"/>
    </xf>
    <xf numFmtId="0" fontId="41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7" fontId="42" fillId="0" borderId="0" applyFont="0" applyFill="0" applyBorder="0" applyAlignment="0" applyProtection="0"/>
    <xf numFmtId="0" fontId="41" fillId="0" borderId="0" applyFill="0" applyBorder="0" applyProtection="0">
      <alignment vertical="center"/>
    </xf>
    <xf numFmtId="0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14" fontId="44" fillId="0" borderId="0">
      <alignment vertical="top"/>
    </xf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41" fillId="0" borderId="38" applyNumberFormat="0" applyFont="0" applyFill="0" applyAlignment="0" applyProtection="0"/>
    <xf numFmtId="0" fontId="45" fillId="0" borderId="0" applyNumberFormat="0" applyFill="0" applyBorder="0" applyAlignment="0" applyProtection="0"/>
    <xf numFmtId="38" fontId="46" fillId="0" borderId="0">
      <alignment vertical="top"/>
    </xf>
    <xf numFmtId="175" fontId="46" fillId="0" borderId="0">
      <alignment vertical="top"/>
    </xf>
    <xf numFmtId="38" fontId="46" fillId="0" borderId="0">
      <alignment vertical="top"/>
    </xf>
    <xf numFmtId="177" fontId="44" fillId="0" borderId="0" applyFont="0" applyFill="0" applyBorder="0" applyAlignment="0" applyProtection="0"/>
    <xf numFmtId="177" fontId="44" fillId="0" borderId="0" applyFont="0" applyFill="0" applyBorder="0" applyAlignment="0" applyProtection="0"/>
    <xf numFmtId="37" fontId="15" fillId="0" borderId="0"/>
    <xf numFmtId="0" fontId="47" fillId="0" borderId="0" applyNumberFormat="0" applyFill="0" applyBorder="0" applyAlignment="0" applyProtection="0"/>
    <xf numFmtId="169" fontId="48" fillId="0" borderId="0" applyFill="0" applyBorder="0" applyAlignment="0" applyProtection="0"/>
    <xf numFmtId="169" fontId="23" fillId="0" borderId="0" applyFill="0" applyBorder="0" applyAlignment="0" applyProtection="0"/>
    <xf numFmtId="169" fontId="49" fillId="0" borderId="0" applyFill="0" applyBorder="0" applyAlignment="0" applyProtection="0"/>
    <xf numFmtId="169" fontId="50" fillId="0" borderId="0" applyFill="0" applyBorder="0" applyAlignment="0" applyProtection="0"/>
    <xf numFmtId="169" fontId="51" fillId="0" borderId="0" applyFill="0" applyBorder="0" applyAlignment="0" applyProtection="0"/>
    <xf numFmtId="169" fontId="52" fillId="0" borderId="0" applyFill="0" applyBorder="0" applyAlignment="0" applyProtection="0"/>
    <xf numFmtId="169" fontId="53" fillId="0" borderId="0" applyFill="0" applyBorder="0" applyAlignment="0" applyProtection="0"/>
    <xf numFmtId="2" fontId="42" fillId="0" borderId="0" applyFont="0" applyFill="0" applyBorder="0" applyAlignment="0" applyProtection="0"/>
    <xf numFmtId="0" fontId="54" fillId="0" borderId="0">
      <alignment vertical="center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Fill="0" applyBorder="0" applyProtection="0">
      <alignment horizontal="left"/>
    </xf>
    <xf numFmtId="0" fontId="57" fillId="20" borderId="0" applyNumberFormat="0" applyBorder="0" applyAlignment="0" applyProtection="0"/>
    <xf numFmtId="173" fontId="58" fillId="2" borderId="9" applyNumberFormat="0" applyFont="0" applyBorder="0" applyAlignment="0" applyProtection="0"/>
    <xf numFmtId="0" fontId="41" fillId="0" borderId="0" applyFont="0" applyFill="0" applyBorder="0" applyAlignment="0" applyProtection="0">
      <alignment horizontal="right"/>
    </xf>
    <xf numFmtId="190" fontId="59" fillId="2" borderId="0" applyNumberFormat="0" applyFont="0" applyAlignment="0"/>
    <xf numFmtId="0" fontId="60" fillId="0" borderId="0" applyProtection="0">
      <alignment horizontal="right"/>
    </xf>
    <xf numFmtId="0" fontId="61" fillId="0" borderId="0">
      <alignment vertical="top"/>
    </xf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4" fillId="0" borderId="41" applyNumberFormat="0" applyFill="0" applyAlignment="0" applyProtection="0"/>
    <xf numFmtId="0" fontId="64" fillId="0" borderId="0" applyNumberFormat="0" applyFill="0" applyBorder="0" applyAlignment="0" applyProtection="0"/>
    <xf numFmtId="2" fontId="65" fillId="38" borderId="0" applyAlignment="0">
      <alignment horizontal="right"/>
      <protection locked="0"/>
    </xf>
    <xf numFmtId="38" fontId="66" fillId="0" borderId="0">
      <alignment vertical="top"/>
    </xf>
    <xf numFmtId="175" fontId="66" fillId="0" borderId="0">
      <alignment vertical="top"/>
    </xf>
    <xf numFmtId="38" fontId="66" fillId="0" borderId="0">
      <alignment vertical="top"/>
    </xf>
    <xf numFmtId="0" fontId="67" fillId="0" borderId="0" applyNumberFormat="0" applyFill="0" applyBorder="0" applyAlignment="0" applyProtection="0">
      <alignment vertical="top"/>
      <protection locked="0"/>
    </xf>
    <xf numFmtId="183" fontId="68" fillId="0" borderId="0"/>
    <xf numFmtId="0" fontId="15" fillId="0" borderId="0"/>
    <xf numFmtId="0" fontId="69" fillId="0" borderId="0" applyNumberFormat="0" applyFill="0" applyBorder="0" applyAlignment="0" applyProtection="0">
      <alignment vertical="top"/>
      <protection locked="0"/>
    </xf>
    <xf numFmtId="191" fontId="70" fillId="0" borderId="9">
      <alignment horizontal="center" vertical="center" wrapText="1"/>
    </xf>
    <xf numFmtId="0" fontId="71" fillId="23" borderId="36" applyNumberFormat="0" applyAlignment="0" applyProtection="0"/>
    <xf numFmtId="0" fontId="72" fillId="0" borderId="0" applyFill="0" applyBorder="0" applyProtection="0">
      <alignment vertical="center"/>
    </xf>
    <xf numFmtId="0" fontId="72" fillId="0" borderId="0" applyFill="0" applyBorder="0" applyProtection="0">
      <alignment vertical="center"/>
    </xf>
    <xf numFmtId="0" fontId="72" fillId="0" borderId="0" applyFill="0" applyBorder="0" applyProtection="0">
      <alignment vertical="center"/>
    </xf>
    <xf numFmtId="0" fontId="72" fillId="0" borderId="0" applyFill="0" applyBorder="0" applyProtection="0">
      <alignment vertical="center"/>
    </xf>
    <xf numFmtId="38" fontId="24" fillId="0" borderId="0">
      <alignment vertical="top"/>
    </xf>
    <xf numFmtId="38" fontId="24" fillId="5" borderId="0">
      <alignment vertical="top"/>
    </xf>
    <xf numFmtId="175" fontId="24" fillId="5" borderId="0">
      <alignment vertical="top"/>
    </xf>
    <xf numFmtId="38" fontId="24" fillId="5" borderId="0">
      <alignment vertical="top"/>
    </xf>
    <xf numFmtId="175" fontId="24" fillId="0" borderId="0">
      <alignment vertical="top"/>
    </xf>
    <xf numFmtId="38" fontId="24" fillId="0" borderId="0">
      <alignment vertical="top"/>
    </xf>
    <xf numFmtId="192" fontId="24" fillId="2" borderId="0">
      <alignment vertical="top"/>
    </xf>
    <xf numFmtId="38" fontId="24" fillId="0" borderId="0">
      <alignment vertical="top"/>
    </xf>
    <xf numFmtId="0" fontId="73" fillId="0" borderId="42" applyNumberFormat="0" applyFill="0" applyAlignment="0" applyProtection="0"/>
    <xf numFmtId="193" fontId="74" fillId="0" borderId="0" applyFont="0" applyFill="0" applyBorder="0" applyAlignment="0" applyProtection="0"/>
    <xf numFmtId="194" fontId="74" fillId="0" borderId="0" applyFont="0" applyFill="0" applyBorder="0" applyAlignment="0" applyProtection="0"/>
    <xf numFmtId="193" fontId="74" fillId="0" borderId="0" applyFont="0" applyFill="0" applyBorder="0" applyAlignment="0" applyProtection="0"/>
    <xf numFmtId="194" fontId="74" fillId="0" borderId="0" applyFont="0" applyFill="0" applyBorder="0" applyAlignment="0" applyProtection="0"/>
    <xf numFmtId="195" fontId="75" fillId="0" borderId="9">
      <alignment horizontal="right"/>
      <protection locked="0"/>
    </xf>
    <xf numFmtId="196" fontId="74" fillId="0" borderId="0" applyFont="0" applyFill="0" applyBorder="0" applyAlignment="0" applyProtection="0"/>
    <xf numFmtId="197" fontId="74" fillId="0" borderId="0" applyFont="0" applyFill="0" applyBorder="0" applyAlignment="0" applyProtection="0"/>
    <xf numFmtId="196" fontId="74" fillId="0" borderId="0" applyFont="0" applyFill="0" applyBorder="0" applyAlignment="0" applyProtection="0"/>
    <xf numFmtId="197" fontId="74" fillId="0" borderId="0" applyFont="0" applyFill="0" applyBorder="0" applyAlignment="0" applyProtection="0"/>
    <xf numFmtId="0" fontId="41" fillId="0" borderId="0" applyFont="0" applyFill="0" applyBorder="0" applyAlignment="0" applyProtection="0">
      <alignment horizontal="right"/>
    </xf>
    <xf numFmtId="0" fontId="41" fillId="0" borderId="0" applyFill="0" applyBorder="0" applyProtection="0">
      <alignment vertical="center"/>
    </xf>
    <xf numFmtId="0" fontId="41" fillId="0" borderId="0" applyFont="0" applyFill="0" applyBorder="0" applyAlignment="0" applyProtection="0">
      <alignment horizontal="right"/>
    </xf>
    <xf numFmtId="3" fontId="2" fillId="0" borderId="7" applyFont="0" applyBorder="0">
      <alignment horizontal="center" vertical="center"/>
    </xf>
    <xf numFmtId="0" fontId="76" fillId="39" borderId="0" applyNumberFormat="0" applyBorder="0" applyAlignment="0" applyProtection="0"/>
    <xf numFmtId="0" fontId="30" fillId="0" borderId="43"/>
    <xf numFmtId="0" fontId="77" fillId="0" borderId="0" applyNumberFormat="0" applyFill="0" applyBorder="0" applyAlignment="0" applyProtection="0"/>
    <xf numFmtId="198" fontId="2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>
      <alignment horizontal="right"/>
    </xf>
    <xf numFmtId="0" fontId="2" fillId="0" borderId="0"/>
    <xf numFmtId="0" fontId="79" fillId="0" borderId="0"/>
    <xf numFmtId="0" fontId="41" fillId="0" borderId="0" applyFill="0" applyBorder="0" applyProtection="0">
      <alignment vertical="center"/>
    </xf>
    <xf numFmtId="0" fontId="80" fillId="0" borderId="0"/>
    <xf numFmtId="0" fontId="15" fillId="0" borderId="0"/>
    <xf numFmtId="0" fontId="22" fillId="0" borderId="0"/>
    <xf numFmtId="0" fontId="17" fillId="40" borderId="44" applyNumberFormat="0" applyFont="0" applyAlignment="0" applyProtection="0"/>
    <xf numFmtId="199" fontId="2" fillId="0" borderId="0" applyFont="0" applyAlignment="0">
      <alignment horizontal="center"/>
    </xf>
    <xf numFmtId="20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58" fillId="0" borderId="0"/>
    <xf numFmtId="202" fontId="58" fillId="0" borderId="0" applyFont="0" applyFill="0" applyBorder="0" applyAlignment="0" applyProtection="0"/>
    <xf numFmtId="203" fontId="58" fillId="0" borderId="0" applyFont="0" applyFill="0" applyBorder="0" applyAlignment="0" applyProtection="0"/>
    <xf numFmtId="0" fontId="81" fillId="36" borderId="45" applyNumberFormat="0" applyAlignment="0" applyProtection="0"/>
    <xf numFmtId="1" fontId="82" fillId="0" borderId="0" applyProtection="0">
      <alignment horizontal="right" vertical="center"/>
    </xf>
    <xf numFmtId="49" fontId="83" fillId="0" borderId="28" applyFill="0" applyProtection="0">
      <alignment vertical="center"/>
    </xf>
    <xf numFmtId="9" fontId="15" fillId="0" borderId="0" applyFont="0" applyFill="0" applyBorder="0" applyAlignment="0" applyProtection="0"/>
    <xf numFmtId="0" fontId="41" fillId="0" borderId="0" applyFill="0" applyBorder="0" applyProtection="0">
      <alignment vertical="center"/>
    </xf>
    <xf numFmtId="37" fontId="84" fillId="6" borderId="33"/>
    <xf numFmtId="37" fontId="84" fillId="6" borderId="33"/>
    <xf numFmtId="0" fontId="85" fillId="0" borderId="0" applyNumberFormat="0">
      <alignment horizontal="left"/>
    </xf>
    <xf numFmtId="204" fontId="86" fillId="0" borderId="46" applyBorder="0">
      <alignment horizontal="right"/>
      <protection locked="0"/>
    </xf>
    <xf numFmtId="49" fontId="87" fillId="0" borderId="9" applyNumberFormat="0">
      <alignment horizontal="left" vertical="center"/>
    </xf>
    <xf numFmtId="0" fontId="88" fillId="0" borderId="47">
      <alignment vertical="center"/>
    </xf>
    <xf numFmtId="4" fontId="89" fillId="6" borderId="45" applyNumberFormat="0" applyProtection="0">
      <alignment vertical="center"/>
    </xf>
    <xf numFmtId="4" fontId="90" fillId="6" borderId="45" applyNumberFormat="0" applyProtection="0">
      <alignment vertical="center"/>
    </xf>
    <xf numFmtId="4" fontId="89" fillId="6" borderId="45" applyNumberFormat="0" applyProtection="0">
      <alignment horizontal="left" vertical="center" indent="1"/>
    </xf>
    <xf numFmtId="4" fontId="89" fillId="6" borderId="45" applyNumberFormat="0" applyProtection="0">
      <alignment horizontal="left" vertical="center" indent="1"/>
    </xf>
    <xf numFmtId="0" fontId="15" fillId="41" borderId="45" applyNumberFormat="0" applyProtection="0">
      <alignment horizontal="left" vertical="center" indent="1"/>
    </xf>
    <xf numFmtId="4" fontId="89" fillId="3" borderId="45" applyNumberFormat="0" applyProtection="0">
      <alignment horizontal="right" vertical="center"/>
    </xf>
    <xf numFmtId="4" fontId="89" fillId="7" borderId="45" applyNumberFormat="0" applyProtection="0">
      <alignment horizontal="right" vertical="center"/>
    </xf>
    <xf numFmtId="4" fontId="89" fillId="14" borderId="45" applyNumberFormat="0" applyProtection="0">
      <alignment horizontal="right" vertical="center"/>
    </xf>
    <xf numFmtId="4" fontId="89" fillId="4" borderId="45" applyNumberFormat="0" applyProtection="0">
      <alignment horizontal="right" vertical="center"/>
    </xf>
    <xf numFmtId="4" fontId="89" fillId="10" borderId="45" applyNumberFormat="0" applyProtection="0">
      <alignment horizontal="right" vertical="center"/>
    </xf>
    <xf numFmtId="4" fontId="89" fillId="8" borderId="45" applyNumberFormat="0" applyProtection="0">
      <alignment horizontal="right" vertical="center"/>
    </xf>
    <xf numFmtId="4" fontId="89" fillId="42" borderId="45" applyNumberFormat="0" applyProtection="0">
      <alignment horizontal="right" vertical="center"/>
    </xf>
    <xf numFmtId="4" fontId="89" fillId="15" borderId="45" applyNumberFormat="0" applyProtection="0">
      <alignment horizontal="right" vertical="center"/>
    </xf>
    <xf numFmtId="4" fontId="89" fillId="43" borderId="45" applyNumberFormat="0" applyProtection="0">
      <alignment horizontal="right" vertical="center"/>
    </xf>
    <xf numFmtId="4" fontId="91" fillId="44" borderId="45" applyNumberFormat="0" applyProtection="0">
      <alignment horizontal="left" vertical="center" indent="1"/>
    </xf>
    <xf numFmtId="4" fontId="89" fillId="45" borderId="48" applyNumberFormat="0" applyProtection="0">
      <alignment horizontal="left" vertical="center" indent="1"/>
    </xf>
    <xf numFmtId="4" fontId="92" fillId="46" borderId="0" applyNumberFormat="0" applyProtection="0">
      <alignment horizontal="left" vertical="center" indent="1"/>
    </xf>
    <xf numFmtId="0" fontId="15" fillId="41" borderId="45" applyNumberFormat="0" applyProtection="0">
      <alignment horizontal="left" vertical="center" indent="1"/>
    </xf>
    <xf numFmtId="4" fontId="93" fillId="45" borderId="45" applyNumberFormat="0" applyProtection="0">
      <alignment horizontal="left" vertical="center" indent="1"/>
    </xf>
    <xf numFmtId="4" fontId="93" fillId="13" borderId="45" applyNumberFormat="0" applyProtection="0">
      <alignment horizontal="left" vertical="center" indent="1"/>
    </xf>
    <xf numFmtId="0" fontId="15" fillId="13" borderId="45" applyNumberFormat="0" applyProtection="0">
      <alignment horizontal="left" vertical="center" indent="1"/>
    </xf>
    <xf numFmtId="0" fontId="15" fillId="13" borderId="45" applyNumberFormat="0" applyProtection="0">
      <alignment horizontal="left" vertical="center" indent="1"/>
    </xf>
    <xf numFmtId="0" fontId="15" fillId="11" borderId="45" applyNumberFormat="0" applyProtection="0">
      <alignment horizontal="left" vertical="center" indent="1"/>
    </xf>
    <xf numFmtId="0" fontId="15" fillId="11" borderId="45" applyNumberFormat="0" applyProtection="0">
      <alignment horizontal="left" vertical="center" indent="1"/>
    </xf>
    <xf numFmtId="0" fontId="15" fillId="5" borderId="45" applyNumberFormat="0" applyProtection="0">
      <alignment horizontal="left" vertical="center" indent="1"/>
    </xf>
    <xf numFmtId="0" fontId="15" fillId="5" borderId="45" applyNumberFormat="0" applyProtection="0">
      <alignment horizontal="left" vertical="center" indent="1"/>
    </xf>
    <xf numFmtId="0" fontId="15" fillId="41" borderId="45" applyNumberFormat="0" applyProtection="0">
      <alignment horizontal="left" vertical="center" indent="1"/>
    </xf>
    <xf numFmtId="0" fontId="15" fillId="41" borderId="45" applyNumberFormat="0" applyProtection="0">
      <alignment horizontal="left" vertical="center" indent="1"/>
    </xf>
    <xf numFmtId="0" fontId="2" fillId="0" borderId="0"/>
    <xf numFmtId="0" fontId="2" fillId="0" borderId="0"/>
    <xf numFmtId="0" fontId="2" fillId="0" borderId="0"/>
    <xf numFmtId="0" fontId="2" fillId="0" borderId="0"/>
    <xf numFmtId="4" fontId="89" fillId="47" borderId="45" applyNumberFormat="0" applyProtection="0">
      <alignment vertical="center"/>
    </xf>
    <xf numFmtId="4" fontId="90" fillId="47" borderId="45" applyNumberFormat="0" applyProtection="0">
      <alignment vertical="center"/>
    </xf>
    <xf numFmtId="4" fontId="89" fillId="47" borderId="45" applyNumberFormat="0" applyProtection="0">
      <alignment horizontal="left" vertical="center" indent="1"/>
    </xf>
    <xf numFmtId="4" fontId="89" fillId="47" borderId="45" applyNumberFormat="0" applyProtection="0">
      <alignment horizontal="left" vertical="center" indent="1"/>
    </xf>
    <xf numFmtId="4" fontId="89" fillId="45" borderId="45" applyNumberFormat="0" applyProtection="0">
      <alignment horizontal="right" vertical="center"/>
    </xf>
    <xf numFmtId="4" fontId="90" fillId="45" borderId="45" applyNumberFormat="0" applyProtection="0">
      <alignment horizontal="right" vertical="center"/>
    </xf>
    <xf numFmtId="0" fontId="15" fillId="41" borderId="45" applyNumberFormat="0" applyProtection="0">
      <alignment horizontal="left" vertical="center" indent="1"/>
    </xf>
    <xf numFmtId="0" fontId="15" fillId="41" borderId="45" applyNumberFormat="0" applyProtection="0">
      <alignment horizontal="left" vertical="center" indent="1"/>
    </xf>
    <xf numFmtId="0" fontId="94" fillId="0" borderId="0"/>
    <xf numFmtId="4" fontId="95" fillId="45" borderId="45" applyNumberFormat="0" applyProtection="0">
      <alignment horizontal="right" vertical="center"/>
    </xf>
    <xf numFmtId="0" fontId="96" fillId="0" borderId="0">
      <alignment horizontal="left" vertical="center" wrapText="1"/>
    </xf>
    <xf numFmtId="0" fontId="15" fillId="0" borderId="0"/>
    <xf numFmtId="0" fontId="22" fillId="0" borderId="0"/>
    <xf numFmtId="0" fontId="97" fillId="0" borderId="0" applyBorder="0" applyProtection="0">
      <alignment vertical="center"/>
    </xf>
    <xf numFmtId="0" fontId="97" fillId="0" borderId="28" applyBorder="0" applyProtection="0">
      <alignment horizontal="right" vertical="center"/>
    </xf>
    <xf numFmtId="0" fontId="98" fillId="48" borderId="0" applyBorder="0" applyProtection="0">
      <alignment horizontal="centerContinuous" vertical="center"/>
    </xf>
    <xf numFmtId="0" fontId="98" fillId="49" borderId="28" applyBorder="0" applyProtection="0">
      <alignment horizontal="centerContinuous" vertical="center"/>
    </xf>
    <xf numFmtId="0" fontId="99" fillId="0" borderId="0"/>
    <xf numFmtId="38" fontId="100" fillId="50" borderId="0">
      <alignment horizontal="right" vertical="top"/>
    </xf>
    <xf numFmtId="175" fontId="100" fillId="50" borderId="0">
      <alignment horizontal="right" vertical="top"/>
    </xf>
    <xf numFmtId="38" fontId="100" fillId="50" borderId="0">
      <alignment horizontal="right" vertical="top"/>
    </xf>
    <xf numFmtId="0" fontId="80" fillId="0" borderId="0"/>
    <xf numFmtId="0" fontId="101" fillId="0" borderId="0" applyFill="0" applyBorder="0" applyProtection="0">
      <alignment horizontal="left"/>
    </xf>
    <xf numFmtId="0" fontId="56" fillId="0" borderId="16" applyFill="0" applyBorder="0" applyProtection="0">
      <alignment horizontal="left" vertical="top"/>
    </xf>
    <xf numFmtId="0" fontId="102" fillId="0" borderId="0">
      <alignment horizontal="centerContinuous"/>
    </xf>
    <xf numFmtId="0" fontId="103" fillId="0" borderId="16" applyFill="0" applyBorder="0" applyProtection="0"/>
    <xf numFmtId="0" fontId="103" fillId="0" borderId="0"/>
    <xf numFmtId="0" fontId="104" fillId="0" borderId="0" applyFill="0" applyBorder="0" applyProtection="0"/>
    <xf numFmtId="0" fontId="105" fillId="0" borderId="0"/>
    <xf numFmtId="0" fontId="106" fillId="0" borderId="0" applyNumberFormat="0" applyFill="0" applyBorder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8" fillId="0" borderId="38" applyFill="0" applyBorder="0" applyProtection="0">
      <alignment vertical="center"/>
    </xf>
    <xf numFmtId="0" fontId="109" fillId="0" borderId="0">
      <alignment horizontal="fill"/>
    </xf>
    <xf numFmtId="0" fontId="58" fillId="0" borderId="0"/>
    <xf numFmtId="0" fontId="110" fillId="0" borderId="0" applyNumberFormat="0" applyFill="0" applyBorder="0" applyAlignment="0" applyProtection="0"/>
    <xf numFmtId="0" fontId="111" fillId="0" borderId="28" applyBorder="0" applyProtection="0">
      <alignment horizontal="right"/>
    </xf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0" fontId="32" fillId="35" borderId="0" applyNumberFormat="0" applyBorder="0" applyAlignment="0" applyProtection="0"/>
    <xf numFmtId="183" fontId="34" fillId="0" borderId="35">
      <protection locked="0"/>
    </xf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0" fontId="71" fillId="23" borderId="36" applyNumberFormat="0" applyAlignment="0" applyProtection="0"/>
    <xf numFmtId="3" fontId="112" fillId="0" borderId="0">
      <alignment horizontal="center" vertical="center" textRotation="90" wrapText="1"/>
    </xf>
    <xf numFmtId="205" fontId="34" fillId="0" borderId="9">
      <alignment vertical="top" wrapText="1"/>
    </xf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81" fillId="36" borderId="45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38" fillId="36" borderId="36" applyNumberFormat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206" fontId="116" fillId="0" borderId="9">
      <alignment vertical="top" wrapText="1"/>
    </xf>
    <xf numFmtId="4" fontId="117" fillId="0" borderId="9">
      <alignment horizontal="left" vertical="center"/>
    </xf>
    <xf numFmtId="4" fontId="117" fillId="0" borderId="9"/>
    <xf numFmtId="4" fontId="117" fillId="12" borderId="9"/>
    <xf numFmtId="4" fontId="117" fillId="51" borderId="9"/>
    <xf numFmtId="4" fontId="118" fillId="52" borderId="9"/>
    <xf numFmtId="4" fontId="119" fillId="5" borderId="9"/>
    <xf numFmtId="4" fontId="120" fillId="0" borderId="9">
      <alignment horizontal="center" wrapText="1"/>
    </xf>
    <xf numFmtId="206" fontId="117" fillId="0" borderId="9"/>
    <xf numFmtId="206" fontId="116" fillId="0" borderId="9">
      <alignment horizontal="center" vertical="center" wrapText="1"/>
    </xf>
    <xf numFmtId="206" fontId="116" fillId="0" borderId="9">
      <alignment vertical="top" wrapText="1"/>
    </xf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207" fontId="31" fillId="0" borderId="0" applyFont="0" applyFill="0" applyBorder="0" applyAlignment="0" applyProtection="0"/>
    <xf numFmtId="207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0" fontId="121" fillId="0" borderId="0" applyBorder="0">
      <alignment horizontal="center" vertical="center" wrapText="1"/>
    </xf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2" fillId="0" borderId="39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3" fillId="0" borderId="40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41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4" fillId="0" borderId="4" applyBorder="0">
      <alignment horizontal="center" vertical="center" wrapText="1"/>
    </xf>
    <xf numFmtId="183" fontId="43" fillId="16" borderId="35"/>
    <xf numFmtId="4" fontId="17" fillId="6" borderId="9" applyBorder="0">
      <alignment horizontal="right"/>
    </xf>
    <xf numFmtId="49" fontId="125" fillId="0" borderId="0" applyBorder="0">
      <alignment vertical="center"/>
    </xf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0" fontId="107" fillId="0" borderId="49" applyNumberFormat="0" applyFill="0" applyAlignment="0" applyProtection="0"/>
    <xf numFmtId="3" fontId="43" fillId="0" borderId="9" applyBorder="0">
      <alignment vertical="center"/>
    </xf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77" fillId="0" borderId="34" applyNumberFormat="0" applyFill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39" fillId="37" borderId="37" applyNumberFormat="0" applyAlignment="0" applyProtection="0"/>
    <xf numFmtId="0" fontId="2" fillId="0" borderId="0">
      <alignment wrapText="1"/>
    </xf>
    <xf numFmtId="0" fontId="123" fillId="0" borderId="0">
      <alignment horizontal="center" vertical="top" wrapText="1"/>
    </xf>
    <xf numFmtId="0" fontId="126" fillId="0" borderId="0">
      <alignment horizontal="centerContinuous" vertical="center" wrapText="1"/>
    </xf>
    <xf numFmtId="0" fontId="126" fillId="0" borderId="0">
      <alignment horizontal="centerContinuous" vertical="center" wrapText="1"/>
    </xf>
    <xf numFmtId="177" fontId="123" fillId="0" borderId="0">
      <alignment horizontal="center" vertical="top"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0" fontId="77" fillId="2" borderId="0" applyFill="0">
      <alignment wrapText="1"/>
    </xf>
    <xf numFmtId="208" fontId="3" fillId="2" borderId="9">
      <alignment wrapText="1"/>
    </xf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164" fontId="127" fillId="0" borderId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0" fontId="76" fillId="39" borderId="0" applyNumberFormat="0" applyBorder="0" applyAlignment="0" applyProtection="0"/>
    <xf numFmtId="49" fontId="112" fillId="0" borderId="9">
      <alignment horizontal="right" vertical="top" wrapText="1"/>
    </xf>
    <xf numFmtId="169" fontId="128" fillId="0" borderId="0">
      <alignment horizontal="right" vertical="top" wrapText="1"/>
    </xf>
    <xf numFmtId="49" fontId="17" fillId="0" borderId="0" applyBorder="0">
      <alignment vertical="top"/>
    </xf>
    <xf numFmtId="0" fontId="129" fillId="0" borderId="0"/>
    <xf numFmtId="0" fontId="15" fillId="0" borderId="0"/>
    <xf numFmtId="0" fontId="1" fillId="0" borderId="0"/>
    <xf numFmtId="0" fontId="129" fillId="0" borderId="0"/>
    <xf numFmtId="0" fontId="1" fillId="0" borderId="0"/>
    <xf numFmtId="0" fontId="31" fillId="0" borderId="0"/>
    <xf numFmtId="0" fontId="130" fillId="0" borderId="0"/>
    <xf numFmtId="0" fontId="2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31" fillId="0" borderId="0"/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0" fontId="31" fillId="0" borderId="0"/>
    <xf numFmtId="0" fontId="31" fillId="0" borderId="0"/>
    <xf numFmtId="0" fontId="15" fillId="0" borderId="0"/>
    <xf numFmtId="0" fontId="15" fillId="0" borderId="0"/>
    <xf numFmtId="0" fontId="2" fillId="0" borderId="0"/>
    <xf numFmtId="0" fontId="31" fillId="0" borderId="0"/>
    <xf numFmtId="0" fontId="31" fillId="0" borderId="0"/>
    <xf numFmtId="0" fontId="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49" fontId="17" fillId="0" borderId="0" applyBorder="0">
      <alignment vertical="top"/>
    </xf>
    <xf numFmtId="49" fontId="17" fillId="0" borderId="0" applyBorder="0">
      <alignment vertical="top"/>
    </xf>
    <xf numFmtId="0" fontId="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0" fontId="131" fillId="0" borderId="0"/>
    <xf numFmtId="49" fontId="17" fillId="0" borderId="0" applyBorder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49" fontId="17" fillId="0" borderId="0" applyBorder="0">
      <alignment vertical="top"/>
    </xf>
    <xf numFmtId="0" fontId="131" fillId="0" borderId="0"/>
    <xf numFmtId="0" fontId="131" fillId="0" borderId="0"/>
    <xf numFmtId="49" fontId="17" fillId="0" borderId="0" applyBorder="0">
      <alignment vertical="top"/>
    </xf>
    <xf numFmtId="0" fontId="132" fillId="0" borderId="0"/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49" fontId="17" fillId="0" borderId="0" applyBorder="0">
      <alignment vertical="top"/>
    </xf>
    <xf numFmtId="0" fontId="2" fillId="0" borderId="0"/>
    <xf numFmtId="1" fontId="133" fillId="0" borderId="9">
      <alignment horizontal="left" vertical="center"/>
    </xf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6" fontId="134" fillId="0" borderId="9">
      <alignment vertical="top"/>
    </xf>
    <xf numFmtId="169" fontId="135" fillId="6" borderId="33" applyNumberFormat="0" applyBorder="0" applyAlignment="0">
      <alignment vertical="center"/>
      <protection locked="0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2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0" fontId="15" fillId="40" borderId="44" applyNumberFormat="0" applyFont="0" applyAlignment="0" applyProtection="0"/>
    <xf numFmtId="49" fontId="118" fillId="0" borderId="15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136" fillId="0" borderId="9"/>
    <xf numFmtId="0" fontId="2" fillId="0" borderId="9" applyNumberFormat="0" applyFont="0" applyFill="0" applyAlignment="0" applyProtection="0"/>
    <xf numFmtId="3" fontId="137" fillId="53" borderId="15">
      <alignment horizontal="justify" vertical="center"/>
    </xf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73" fillId="0" borderId="42" applyNumberFormat="0" applyFill="0" applyAlignment="0" applyProtection="0"/>
    <xf numFmtId="0" fontId="22" fillId="0" borderId="0"/>
    <xf numFmtId="38" fontId="23" fillId="0" borderId="0">
      <alignment vertical="top"/>
    </xf>
    <xf numFmtId="175" fontId="23" fillId="0" borderId="0">
      <alignment vertical="top"/>
    </xf>
    <xf numFmtId="38" fontId="23" fillId="0" borderId="0">
      <alignment vertical="top"/>
    </xf>
    <xf numFmtId="177" fontId="22" fillId="0" borderId="0"/>
    <xf numFmtId="49" fontId="138" fillId="54" borderId="24" applyBorder="0" applyProtection="0">
      <alignment horizontal="left" vertical="center"/>
    </xf>
    <xf numFmtId="49" fontId="128" fillId="0" borderId="0"/>
    <xf numFmtId="49" fontId="139" fillId="0" borderId="0">
      <alignment vertical="top"/>
    </xf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169" fontId="77" fillId="0" borderId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49" fontId="77" fillId="0" borderId="0">
      <alignment horizontal="center"/>
    </xf>
    <xf numFmtId="209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" fontId="77" fillId="0" borderId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31" fillId="0" borderId="0" applyFont="0" applyFill="0" applyBorder="0" applyAlignment="0" applyProtection="0"/>
    <xf numFmtId="211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210" fontId="15" fillId="0" borderId="0" applyFont="0" applyFill="0" applyBorder="0" applyAlignment="0" applyProtection="0"/>
    <xf numFmtId="210" fontId="15" fillId="0" borderId="0" applyFont="0" applyFill="0" applyBorder="0" applyAlignment="0" applyProtection="0"/>
    <xf numFmtId="210" fontId="15" fillId="0" borderId="0" applyFont="0" applyFill="0" applyBorder="0" applyAlignment="0" applyProtection="0"/>
    <xf numFmtId="210" fontId="15" fillId="0" borderId="0" applyFont="0" applyFill="0" applyBorder="0" applyAlignment="0" applyProtection="0"/>
    <xf numFmtId="181" fontId="15" fillId="0" borderId="0" applyFont="0" applyFill="0" applyBorder="0" applyAlignment="0" applyProtection="0"/>
    <xf numFmtId="167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4" fontId="17" fillId="2" borderId="0" applyBorder="0">
      <alignment horizontal="right"/>
    </xf>
    <xf numFmtId="4" fontId="17" fillId="2" borderId="0" applyBorder="0">
      <alignment horizontal="right"/>
    </xf>
    <xf numFmtId="4" fontId="17" fillId="2" borderId="0" applyFont="0" applyBorder="0">
      <alignment horizontal="right"/>
    </xf>
    <xf numFmtId="4" fontId="17" fillId="2" borderId="0" applyBorder="0">
      <alignment horizontal="right"/>
    </xf>
    <xf numFmtId="4" fontId="17" fillId="9" borderId="3" applyBorder="0">
      <alignment horizontal="right"/>
    </xf>
    <xf numFmtId="4" fontId="17" fillId="9" borderId="3" applyBorder="0">
      <alignment horizontal="right"/>
    </xf>
    <xf numFmtId="4" fontId="17" fillId="2" borderId="9" applyFont="0" applyBorder="0">
      <alignment horizontal="right"/>
    </xf>
    <xf numFmtId="4" fontId="17" fillId="2" borderId="9" applyFont="0" applyBorder="0">
      <alignment horizontal="right"/>
    </xf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0" fontId="57" fillId="20" borderId="0" applyNumberFormat="0" applyBorder="0" applyAlignment="0" applyProtection="0"/>
    <xf numFmtId="213" fontId="34" fillId="0" borderId="15">
      <alignment vertical="top" wrapText="1"/>
    </xf>
    <xf numFmtId="214" fontId="2" fillId="0" borderId="9" applyFont="0" applyFill="0" applyBorder="0" applyProtection="0">
      <alignment horizontal="center" vertical="center"/>
    </xf>
    <xf numFmtId="214" fontId="2" fillId="0" borderId="9" applyFont="0" applyFill="0" applyBorder="0" applyProtection="0">
      <alignment horizontal="center" vertical="center"/>
    </xf>
    <xf numFmtId="214" fontId="2" fillId="0" borderId="9" applyFont="0" applyFill="0" applyBorder="0" applyProtection="0">
      <alignment horizontal="center" vertical="center"/>
    </xf>
    <xf numFmtId="214" fontId="2" fillId="0" borderId="9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15" fontId="28" fillId="0" borderId="0">
      <protection locked="0"/>
    </xf>
    <xf numFmtId="215" fontId="28" fillId="0" borderId="0">
      <protection locked="0"/>
    </xf>
    <xf numFmtId="49" fontId="116" fillId="0" borderId="9">
      <alignment horizontal="center" vertical="center" wrapText="1"/>
    </xf>
    <xf numFmtId="0" fontId="34" fillId="0" borderId="9" applyBorder="0">
      <alignment horizontal="center" vertical="center" wrapText="1"/>
    </xf>
    <xf numFmtId="49" fontId="116" fillId="0" borderId="9">
      <alignment horizontal="center" vertical="center" wrapText="1"/>
    </xf>
    <xf numFmtId="49" fontId="96" fillId="0" borderId="9" applyNumberFormat="0" applyFill="0" applyAlignment="0" applyProtection="0"/>
    <xf numFmtId="208" fontId="2" fillId="0" borderId="0"/>
    <xf numFmtId="0" fontId="15" fillId="0" borderId="0"/>
    <xf numFmtId="167" fontId="2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Fill="1"/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49" fontId="3" fillId="0" borderId="22" xfId="0" applyNumberFormat="1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9" fontId="3" fillId="0" borderId="13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3" fillId="0" borderId="0" xfId="0" applyFont="1" applyFill="1"/>
    <xf numFmtId="167" fontId="0" fillId="0" borderId="0" xfId="2424" applyFont="1" applyAlignment="1">
      <alignment horizontal="center"/>
    </xf>
    <xf numFmtId="2" fontId="0" fillId="55" borderId="9" xfId="0" applyNumberFormat="1" applyFont="1" applyFill="1" applyBorder="1" applyAlignment="1">
      <alignment horizontal="center"/>
    </xf>
    <xf numFmtId="1" fontId="3" fillId="55" borderId="9" xfId="0" applyNumberFormat="1" applyFont="1" applyFill="1" applyBorder="1" applyAlignment="1">
      <alignment horizontal="center"/>
    </xf>
    <xf numFmtId="1" fontId="0" fillId="55" borderId="9" xfId="0" applyNumberFormat="1" applyFont="1" applyFill="1" applyBorder="1" applyAlignment="1">
      <alignment horizontal="center"/>
    </xf>
    <xf numFmtId="2" fontId="7" fillId="55" borderId="9" xfId="0" applyNumberFormat="1" applyFont="1" applyFill="1" applyBorder="1" applyAlignment="1">
      <alignment horizontal="center"/>
    </xf>
    <xf numFmtId="1" fontId="11" fillId="55" borderId="9" xfId="0" applyNumberFormat="1" applyFont="1" applyFill="1" applyBorder="1" applyAlignment="1">
      <alignment horizontal="center"/>
    </xf>
    <xf numFmtId="0" fontId="3" fillId="55" borderId="0" xfId="0" applyFont="1" applyFill="1" applyBorder="1" applyAlignment="1">
      <alignment vertical="center" wrapText="1"/>
    </xf>
    <xf numFmtId="0" fontId="3" fillId="55" borderId="0" xfId="0" applyFont="1" applyFill="1" applyBorder="1" applyAlignment="1">
      <alignment horizontal="center" vertical="center" wrapText="1"/>
    </xf>
    <xf numFmtId="0" fontId="0" fillId="55" borderId="0" xfId="0" applyFont="1" applyFill="1" applyBorder="1"/>
    <xf numFmtId="0" fontId="0" fillId="55" borderId="0" xfId="0" applyFont="1" applyFill="1" applyBorder="1" applyAlignment="1">
      <alignment horizontal="center"/>
    </xf>
    <xf numFmtId="0" fontId="0" fillId="55" borderId="0" xfId="0" applyFont="1" applyFill="1"/>
    <xf numFmtId="0" fontId="0" fillId="55" borderId="0" xfId="0" applyFont="1" applyFill="1" applyAlignment="1">
      <alignment horizontal="center"/>
    </xf>
    <xf numFmtId="0" fontId="3" fillId="55" borderId="0" xfId="0" applyFont="1" applyFill="1" applyAlignment="1">
      <alignment horizontal="center"/>
    </xf>
    <xf numFmtId="2" fontId="0" fillId="55" borderId="0" xfId="0" applyNumberFormat="1" applyFont="1" applyFill="1" applyAlignment="1">
      <alignment horizontal="center"/>
    </xf>
    <xf numFmtId="0" fontId="0" fillId="55" borderId="0" xfId="0" applyFont="1" applyFill="1" applyAlignment="1">
      <alignment horizontal="center" vertical="center"/>
    </xf>
    <xf numFmtId="0" fontId="0" fillId="55" borderId="0" xfId="0" applyFill="1" applyAlignment="1">
      <alignment horizontal="center"/>
    </xf>
    <xf numFmtId="0" fontId="0" fillId="55" borderId="0" xfId="0" applyFill="1"/>
    <xf numFmtId="168" fontId="0" fillId="55" borderId="0" xfId="0" applyNumberFormat="1" applyFont="1" applyFill="1" applyAlignment="1">
      <alignment horizontal="center" wrapText="1"/>
    </xf>
    <xf numFmtId="168" fontId="0" fillId="55" borderId="0" xfId="0" applyNumberFormat="1" applyFont="1" applyFill="1" applyAlignment="1">
      <alignment horizontal="center"/>
    </xf>
    <xf numFmtId="0" fontId="6" fillId="55" borderId="0" xfId="0" applyFont="1" applyFill="1" applyAlignment="1">
      <alignment horizontal="center"/>
    </xf>
    <xf numFmtId="2" fontId="0" fillId="55" borderId="9" xfId="0" applyNumberFormat="1" applyFont="1" applyFill="1" applyBorder="1" applyAlignment="1">
      <alignment horizontal="center" vertical="center" wrapText="1"/>
    </xf>
    <xf numFmtId="0" fontId="0" fillId="55" borderId="9" xfId="0" applyFont="1" applyFill="1" applyBorder="1"/>
    <xf numFmtId="2" fontId="10" fillId="55" borderId="9" xfId="0" applyNumberFormat="1" applyFont="1" applyFill="1" applyBorder="1" applyAlignment="1">
      <alignment horizontal="center"/>
    </xf>
    <xf numFmtId="2" fontId="3" fillId="55" borderId="9" xfId="0" applyNumberFormat="1" applyFont="1" applyFill="1" applyBorder="1" applyAlignment="1">
      <alignment horizontal="center" vertical="center" wrapText="1"/>
    </xf>
    <xf numFmtId="1" fontId="7" fillId="55" borderId="9" xfId="0" applyNumberFormat="1" applyFont="1" applyFill="1" applyBorder="1" applyAlignment="1">
      <alignment horizontal="center"/>
    </xf>
    <xf numFmtId="2" fontId="10" fillId="55" borderId="9" xfId="0" applyNumberFormat="1" applyFont="1" applyFill="1" applyBorder="1" applyAlignment="1">
      <alignment horizontal="center" vertical="center"/>
    </xf>
    <xf numFmtId="1" fontId="11" fillId="55" borderId="9" xfId="0" applyNumberFormat="1" applyFont="1" applyFill="1" applyBorder="1" applyAlignment="1">
      <alignment horizontal="center" vertical="center" wrapText="1"/>
    </xf>
    <xf numFmtId="1" fontId="0" fillId="55" borderId="11" xfId="0" applyNumberFormat="1" applyFont="1" applyFill="1" applyBorder="1" applyAlignment="1">
      <alignment horizontal="center"/>
    </xf>
    <xf numFmtId="0" fontId="0" fillId="55" borderId="9" xfId="0" applyFont="1" applyFill="1" applyBorder="1" applyAlignment="1">
      <alignment horizontal="center"/>
    </xf>
    <xf numFmtId="0" fontId="3" fillId="55" borderId="0" xfId="0" applyFont="1" applyFill="1" applyBorder="1" applyAlignment="1">
      <alignment horizontal="center"/>
    </xf>
    <xf numFmtId="2" fontId="3" fillId="55" borderId="9" xfId="0" applyNumberFormat="1" applyFont="1" applyFill="1" applyBorder="1" applyAlignment="1">
      <alignment horizontal="center"/>
    </xf>
    <xf numFmtId="0" fontId="0" fillId="55" borderId="13" xfId="0" applyFont="1" applyFill="1" applyBorder="1" applyAlignment="1">
      <alignment horizontal="center"/>
    </xf>
    <xf numFmtId="0" fontId="12" fillId="55" borderId="9" xfId="0" applyFont="1" applyFill="1" applyBorder="1" applyAlignment="1">
      <alignment horizontal="center"/>
    </xf>
    <xf numFmtId="169" fontId="3" fillId="55" borderId="9" xfId="0" applyNumberFormat="1" applyFont="1" applyFill="1" applyBorder="1" applyAlignment="1">
      <alignment horizontal="center"/>
    </xf>
    <xf numFmtId="0" fontId="7" fillId="55" borderId="9" xfId="0" applyFont="1" applyFill="1" applyBorder="1" applyAlignment="1">
      <alignment horizontal="center"/>
    </xf>
    <xf numFmtId="169" fontId="0" fillId="55" borderId="0" xfId="0" applyNumberFormat="1" applyFont="1" applyFill="1" applyBorder="1" applyAlignment="1">
      <alignment horizontal="center"/>
    </xf>
    <xf numFmtId="2" fontId="3" fillId="55" borderId="0" xfId="0" applyNumberFormat="1" applyFont="1" applyFill="1" applyBorder="1" applyAlignment="1">
      <alignment horizontal="center"/>
    </xf>
    <xf numFmtId="2" fontId="0" fillId="55" borderId="0" xfId="0" applyNumberFormat="1" applyFont="1" applyFill="1" applyBorder="1" applyAlignment="1">
      <alignment horizontal="center"/>
    </xf>
    <xf numFmtId="2" fontId="7" fillId="55" borderId="9" xfId="0" applyNumberFormat="1" applyFont="1" applyFill="1" applyBorder="1" applyAlignment="1" applyProtection="1">
      <alignment horizontal="center"/>
    </xf>
    <xf numFmtId="2" fontId="7" fillId="55" borderId="9" xfId="0" applyNumberFormat="1" applyFont="1" applyFill="1" applyBorder="1" applyAlignment="1" applyProtection="1">
      <alignment horizontal="center"/>
      <protection locked="0"/>
    </xf>
    <xf numFmtId="2" fontId="0" fillId="55" borderId="9" xfId="0" applyNumberFormat="1" applyFont="1" applyFill="1" applyBorder="1" applyAlignment="1" applyProtection="1">
      <alignment horizontal="center"/>
      <protection locked="0"/>
    </xf>
    <xf numFmtId="2" fontId="7" fillId="55" borderId="14" xfId="0" applyNumberFormat="1" applyFont="1" applyFill="1" applyBorder="1" applyAlignment="1">
      <alignment horizontal="center"/>
    </xf>
    <xf numFmtId="2" fontId="7" fillId="55" borderId="29" xfId="0" applyNumberFormat="1" applyFont="1" applyFill="1" applyBorder="1" applyAlignment="1">
      <alignment horizontal="center"/>
    </xf>
    <xf numFmtId="2" fontId="10" fillId="55" borderId="9" xfId="0" applyNumberFormat="1" applyFont="1" applyFill="1" applyBorder="1" applyAlignment="1">
      <alignment horizontal="center"/>
    </xf>
    <xf numFmtId="2" fontId="10" fillId="55" borderId="0" xfId="1" applyNumberFormat="1" applyFont="1" applyFill="1" applyBorder="1" applyAlignment="1" applyProtection="1">
      <alignment horizontal="center" vertical="center" wrapText="1"/>
      <protection locked="0"/>
    </xf>
    <xf numFmtId="2" fontId="10" fillId="55" borderId="0" xfId="1" applyNumberFormat="1" applyFont="1" applyFill="1" applyBorder="1" applyAlignment="1" applyProtection="1">
      <alignment horizontal="center" wrapText="1"/>
      <protection locked="0"/>
    </xf>
    <xf numFmtId="2" fontId="0" fillId="55" borderId="14" xfId="0" applyNumberFormat="1" applyFont="1" applyFill="1" applyBorder="1" applyAlignment="1">
      <alignment horizontal="center"/>
    </xf>
    <xf numFmtId="2" fontId="0" fillId="55" borderId="19" xfId="0" applyNumberFormat="1" applyFont="1" applyFill="1" applyBorder="1" applyAlignment="1">
      <alignment horizontal="center"/>
    </xf>
    <xf numFmtId="2" fontId="0" fillId="55" borderId="30" xfId="0" applyNumberFormat="1" applyFont="1" applyFill="1" applyBorder="1" applyAlignment="1">
      <alignment horizontal="center"/>
    </xf>
    <xf numFmtId="1" fontId="0" fillId="55" borderId="25" xfId="0" applyNumberFormat="1" applyFont="1" applyFill="1" applyBorder="1" applyAlignment="1">
      <alignment horizontal="center"/>
    </xf>
    <xf numFmtId="169" fontId="0" fillId="55" borderId="26" xfId="0" applyNumberFormat="1" applyFont="1" applyFill="1" applyBorder="1" applyAlignment="1">
      <alignment horizontal="center"/>
    </xf>
    <xf numFmtId="169" fontId="3" fillId="55" borderId="14" xfId="0" applyNumberFormat="1" applyFont="1" applyFill="1" applyBorder="1" applyAlignment="1">
      <alignment horizontal="center"/>
    </xf>
    <xf numFmtId="1" fontId="0" fillId="55" borderId="31" xfId="0" applyNumberFormat="1" applyFont="1" applyFill="1" applyBorder="1" applyAlignment="1">
      <alignment horizontal="center"/>
    </xf>
    <xf numFmtId="2" fontId="0" fillId="55" borderId="26" xfId="0" applyNumberFormat="1" applyFont="1" applyFill="1" applyBorder="1" applyAlignment="1">
      <alignment horizontal="center"/>
    </xf>
    <xf numFmtId="2" fontId="10" fillId="55" borderId="9" xfId="0" applyNumberFormat="1" applyFont="1" applyFill="1" applyBorder="1" applyAlignment="1">
      <alignment horizontal="center" vertical="center"/>
    </xf>
    <xf numFmtId="0" fontId="10" fillId="55" borderId="9" xfId="1" applyFont="1" applyFill="1" applyBorder="1" applyAlignment="1" applyProtection="1">
      <alignment horizontal="center" vertical="center" wrapText="1"/>
      <protection locked="0"/>
    </xf>
    <xf numFmtId="2" fontId="10" fillId="55" borderId="9" xfId="1" applyNumberFormat="1" applyFont="1" applyFill="1" applyBorder="1" applyAlignment="1" applyProtection="1">
      <alignment horizontal="center" wrapText="1"/>
      <protection locked="0"/>
    </xf>
    <xf numFmtId="2" fontId="10" fillId="55" borderId="9" xfId="1" applyNumberFormat="1" applyFont="1" applyFill="1" applyBorder="1" applyAlignment="1" applyProtection="1">
      <alignment horizontal="center" vertical="center" wrapText="1"/>
      <protection locked="0"/>
    </xf>
    <xf numFmtId="0" fontId="10" fillId="55" borderId="9" xfId="1" applyFont="1" applyFill="1" applyBorder="1" applyAlignment="1" applyProtection="1">
      <alignment horizontal="center" wrapText="1"/>
      <protection locked="0"/>
    </xf>
    <xf numFmtId="169" fontId="7" fillId="55" borderId="9" xfId="0" applyNumberFormat="1" applyFont="1" applyFill="1" applyBorder="1" applyAlignment="1">
      <alignment horizontal="center"/>
    </xf>
    <xf numFmtId="0" fontId="10" fillId="55" borderId="9" xfId="0" applyNumberFormat="1" applyFont="1" applyFill="1" applyBorder="1" applyAlignment="1">
      <alignment horizontal="center" vertical="center" wrapText="1"/>
    </xf>
    <xf numFmtId="169" fontId="0" fillId="55" borderId="9" xfId="0" applyNumberFormat="1" applyFont="1" applyFill="1" applyBorder="1" applyAlignment="1">
      <alignment horizontal="center"/>
    </xf>
    <xf numFmtId="0" fontId="3" fillId="55" borderId="9" xfId="0" applyFont="1" applyFill="1" applyBorder="1" applyAlignment="1">
      <alignment horizontal="center"/>
    </xf>
    <xf numFmtId="0" fontId="3" fillId="55" borderId="9" xfId="0" applyFont="1" applyFill="1" applyBorder="1"/>
    <xf numFmtId="0" fontId="10" fillId="55" borderId="9" xfId="0" applyFont="1" applyFill="1" applyBorder="1" applyAlignment="1">
      <alignment horizontal="center"/>
    </xf>
    <xf numFmtId="2" fontId="10" fillId="55" borderId="9" xfId="0" applyNumberFormat="1" applyFont="1" applyFill="1" applyBorder="1" applyAlignment="1">
      <alignment horizontal="center" vertical="center" wrapText="1"/>
    </xf>
    <xf numFmtId="169" fontId="0" fillId="55" borderId="22" xfId="0" applyNumberFormat="1" applyFont="1" applyFill="1" applyBorder="1" applyAlignment="1">
      <alignment horizontal="center"/>
    </xf>
    <xf numFmtId="169" fontId="3" fillId="55" borderId="27" xfId="0" applyNumberFormat="1" applyFont="1" applyFill="1" applyBorder="1" applyAlignment="1">
      <alignment horizontal="center"/>
    </xf>
    <xf numFmtId="2" fontId="0" fillId="55" borderId="20" xfId="0" applyNumberFormat="1" applyFont="1" applyFill="1" applyBorder="1" applyAlignment="1">
      <alignment horizontal="center"/>
    </xf>
    <xf numFmtId="2" fontId="0" fillId="55" borderId="21" xfId="0" applyNumberFormat="1" applyFont="1" applyFill="1" applyBorder="1" applyAlignment="1">
      <alignment horizontal="center"/>
    </xf>
    <xf numFmtId="2" fontId="0" fillId="55" borderId="27" xfId="0" applyNumberFormat="1" applyFont="1" applyFill="1" applyBorder="1" applyAlignment="1">
      <alignment horizontal="center"/>
    </xf>
    <xf numFmtId="2" fontId="7" fillId="55" borderId="27" xfId="0" applyNumberFormat="1" applyFont="1" applyFill="1" applyBorder="1" applyAlignment="1">
      <alignment horizontal="center"/>
    </xf>
    <xf numFmtId="0" fontId="3" fillId="55" borderId="9" xfId="0" applyFont="1" applyFill="1" applyBorder="1" applyAlignment="1" applyProtection="1">
      <alignment horizontal="center"/>
      <protection locked="0"/>
    </xf>
    <xf numFmtId="2" fontId="3" fillId="55" borderId="9" xfId="0" applyNumberFormat="1" applyFont="1" applyFill="1" applyBorder="1" applyAlignment="1" applyProtection="1">
      <alignment horizontal="center" vertical="center" wrapText="1"/>
      <protection locked="0"/>
    </xf>
    <xf numFmtId="1" fontId="3" fillId="55" borderId="9" xfId="0" applyNumberFormat="1" applyFont="1" applyFill="1" applyBorder="1" applyAlignment="1" applyProtection="1">
      <alignment horizontal="center" vertical="center" wrapText="1"/>
      <protection locked="0"/>
    </xf>
    <xf numFmtId="2" fontId="0" fillId="55" borderId="0" xfId="0" applyNumberFormat="1" applyFont="1" applyFill="1" applyBorder="1"/>
    <xf numFmtId="2" fontId="7" fillId="55" borderId="0" xfId="0" applyNumberFormat="1" applyFont="1" applyFill="1" applyBorder="1" applyAlignment="1">
      <alignment horizontal="center"/>
    </xf>
    <xf numFmtId="168" fontId="0" fillId="55" borderId="9" xfId="0" applyNumberFormat="1" applyFont="1" applyFill="1" applyBorder="1" applyAlignment="1">
      <alignment horizontal="center"/>
    </xf>
    <xf numFmtId="2" fontId="7" fillId="55" borderId="28" xfId="0" applyNumberFormat="1" applyFont="1" applyFill="1" applyBorder="1" applyAlignment="1">
      <alignment horizontal="center"/>
    </xf>
    <xf numFmtId="0" fontId="10" fillId="55" borderId="0" xfId="1" applyFont="1" applyFill="1" applyBorder="1" applyAlignment="1" applyProtection="1">
      <alignment horizontal="center" vertical="center" wrapText="1"/>
      <protection locked="0"/>
    </xf>
    <xf numFmtId="2" fontId="10" fillId="55" borderId="5" xfId="1" applyNumberFormat="1" applyFont="1" applyFill="1" applyBorder="1" applyAlignment="1" applyProtection="1">
      <alignment horizontal="center" wrapText="1"/>
      <protection locked="0"/>
    </xf>
    <xf numFmtId="0" fontId="10" fillId="55" borderId="5" xfId="1" applyFont="1" applyFill="1" applyBorder="1" applyAlignment="1" applyProtection="1">
      <alignment horizontal="center" wrapText="1"/>
      <protection locked="0"/>
    </xf>
    <xf numFmtId="0" fontId="7" fillId="55" borderId="0" xfId="0" applyFont="1" applyFill="1" applyBorder="1" applyAlignment="1">
      <alignment horizontal="center"/>
    </xf>
    <xf numFmtId="0" fontId="7" fillId="55" borderId="5" xfId="0" applyFont="1" applyFill="1" applyBorder="1" applyAlignment="1">
      <alignment horizontal="center"/>
    </xf>
    <xf numFmtId="2" fontId="7" fillId="55" borderId="5" xfId="0" applyNumberFormat="1" applyFont="1" applyFill="1" applyBorder="1" applyAlignment="1">
      <alignment horizontal="center"/>
    </xf>
    <xf numFmtId="169" fontId="7" fillId="55" borderId="32" xfId="0" applyNumberFormat="1" applyFont="1" applyFill="1" applyBorder="1" applyAlignment="1">
      <alignment horizontal="center"/>
    </xf>
    <xf numFmtId="169" fontId="7" fillId="55" borderId="0" xfId="0" applyNumberFormat="1" applyFont="1" applyFill="1" applyBorder="1" applyAlignment="1">
      <alignment horizontal="center"/>
    </xf>
    <xf numFmtId="0" fontId="10" fillId="55" borderId="5" xfId="0" applyNumberFormat="1" applyFont="1" applyFill="1" applyBorder="1" applyAlignment="1">
      <alignment horizontal="center" vertical="center" wrapText="1"/>
    </xf>
    <xf numFmtId="2" fontId="7" fillId="55" borderId="32" xfId="0" applyNumberFormat="1" applyFont="1" applyFill="1" applyBorder="1" applyAlignment="1">
      <alignment horizontal="center"/>
    </xf>
    <xf numFmtId="2" fontId="7" fillId="55" borderId="13" xfId="0" applyNumberFormat="1" applyFont="1" applyFill="1" applyBorder="1" applyAlignment="1">
      <alignment horizontal="center"/>
    </xf>
    <xf numFmtId="2" fontId="10" fillId="55" borderId="5" xfId="0" applyNumberFormat="1" applyFont="1" applyFill="1" applyBorder="1" applyAlignment="1">
      <alignment horizontal="center"/>
    </xf>
    <xf numFmtId="2" fontId="3" fillId="55" borderId="13" xfId="0" applyNumberFormat="1" applyFont="1" applyFill="1" applyBorder="1" applyAlignment="1">
      <alignment horizontal="center"/>
    </xf>
    <xf numFmtId="2" fontId="3" fillId="55" borderId="5" xfId="0" applyNumberFormat="1" applyFont="1" applyFill="1" applyBorder="1" applyAlignment="1">
      <alignment horizontal="center"/>
    </xf>
    <xf numFmtId="2" fontId="3" fillId="55" borderId="32" xfId="0" applyNumberFormat="1" applyFont="1" applyFill="1" applyBorder="1" applyAlignment="1">
      <alignment horizontal="center"/>
    </xf>
    <xf numFmtId="2" fontId="0" fillId="55" borderId="13" xfId="0" applyNumberFormat="1" applyFont="1" applyFill="1" applyBorder="1" applyAlignment="1">
      <alignment horizontal="center"/>
    </xf>
    <xf numFmtId="1" fontId="0" fillId="55" borderId="5" xfId="0" applyNumberFormat="1" applyFont="1" applyFill="1" applyBorder="1" applyAlignment="1">
      <alignment horizontal="center"/>
    </xf>
    <xf numFmtId="1" fontId="0" fillId="55" borderId="32" xfId="0" applyNumberFormat="1" applyFont="1" applyFill="1" applyBorder="1" applyAlignment="1">
      <alignment horizontal="center"/>
    </xf>
    <xf numFmtId="169" fontId="0" fillId="55" borderId="13" xfId="0" applyNumberFormat="1" applyFont="1" applyFill="1" applyBorder="1" applyAlignment="1">
      <alignment horizontal="center"/>
    </xf>
    <xf numFmtId="169" fontId="3" fillId="55" borderId="15" xfId="0" applyNumberFormat="1" applyFont="1" applyFill="1" applyBorder="1" applyAlignment="1">
      <alignment horizontal="center"/>
    </xf>
    <xf numFmtId="2" fontId="10" fillId="55" borderId="0" xfId="0" applyNumberFormat="1" applyFont="1" applyFill="1" applyBorder="1" applyAlignment="1">
      <alignment horizontal="center"/>
    </xf>
    <xf numFmtId="1" fontId="0" fillId="55" borderId="13" xfId="0" applyNumberFormat="1" applyFont="1" applyFill="1" applyBorder="1" applyAlignment="1">
      <alignment horizontal="center"/>
    </xf>
    <xf numFmtId="2" fontId="0" fillId="55" borderId="17" xfId="0" applyNumberFormat="1" applyFont="1" applyFill="1" applyBorder="1" applyAlignment="1">
      <alignment horizontal="center"/>
    </xf>
    <xf numFmtId="2" fontId="0" fillId="55" borderId="16" xfId="0" applyNumberFormat="1" applyFont="1" applyFill="1" applyBorder="1" applyAlignment="1">
      <alignment horizontal="center"/>
    </xf>
    <xf numFmtId="2" fontId="0" fillId="55" borderId="15" xfId="0" applyNumberFormat="1" applyFont="1" applyFill="1" applyBorder="1" applyAlignment="1">
      <alignment horizontal="center"/>
    </xf>
    <xf numFmtId="2" fontId="3" fillId="55" borderId="15" xfId="0" applyNumberFormat="1" applyFont="1" applyFill="1" applyBorder="1" applyAlignment="1">
      <alignment horizontal="center"/>
    </xf>
    <xf numFmtId="2" fontId="3" fillId="55" borderId="16" xfId="0" applyNumberFormat="1" applyFont="1" applyFill="1" applyBorder="1" applyAlignment="1">
      <alignment horizontal="center"/>
    </xf>
    <xf numFmtId="2" fontId="10" fillId="55" borderId="13" xfId="0" applyNumberFormat="1" applyFont="1" applyFill="1" applyBorder="1" applyAlignment="1">
      <alignment horizontal="center"/>
    </xf>
    <xf numFmtId="1" fontId="0" fillId="55" borderId="0" xfId="0" applyNumberFormat="1" applyFont="1" applyFill="1" applyBorder="1" applyAlignment="1">
      <alignment horizontal="center"/>
    </xf>
    <xf numFmtId="2" fontId="0" fillId="55" borderId="5" xfId="0" applyNumberFormat="1" applyFont="1" applyFill="1" applyBorder="1" applyAlignment="1">
      <alignment horizontal="center"/>
    </xf>
    <xf numFmtId="2" fontId="10" fillId="55" borderId="13" xfId="0" applyNumberFormat="1" applyFont="1" applyFill="1" applyBorder="1" applyAlignment="1">
      <alignment horizontal="center" vertical="center" wrapText="1"/>
    </xf>
    <xf numFmtId="4" fontId="3" fillId="55" borderId="9" xfId="0" applyNumberFormat="1" applyFont="1" applyFill="1" applyBorder="1" applyAlignment="1">
      <alignment horizontal="center"/>
    </xf>
    <xf numFmtId="2" fontId="10" fillId="55" borderId="9" xfId="0" applyNumberFormat="1" applyFont="1" applyFill="1" applyBorder="1" applyAlignment="1"/>
    <xf numFmtId="4" fontId="7" fillId="55" borderId="9" xfId="3" applyNumberFormat="1" applyFont="1" applyFill="1" applyBorder="1" applyAlignment="1" applyProtection="1">
      <alignment horizontal="center" vertical="center" wrapText="1"/>
    </xf>
    <xf numFmtId="1" fontId="10" fillId="55" borderId="0" xfId="0" applyNumberFormat="1" applyFont="1" applyFill="1" applyBorder="1" applyAlignment="1">
      <alignment horizontal="center"/>
    </xf>
    <xf numFmtId="1" fontId="10" fillId="55" borderId="5" xfId="0" applyNumberFormat="1" applyFont="1" applyFill="1" applyBorder="1" applyAlignment="1">
      <alignment horizontal="center"/>
    </xf>
    <xf numFmtId="0" fontId="10" fillId="55" borderId="0" xfId="0" applyFont="1" applyFill="1" applyBorder="1" applyAlignment="1">
      <alignment horizontal="center"/>
    </xf>
    <xf numFmtId="0" fontId="7" fillId="55" borderId="32" xfId="0" applyFont="1" applyFill="1" applyBorder="1" applyAlignment="1">
      <alignment horizontal="center"/>
    </xf>
    <xf numFmtId="0" fontId="7" fillId="55" borderId="13" xfId="0" applyFont="1" applyFill="1" applyBorder="1" applyAlignment="1">
      <alignment horizontal="center"/>
    </xf>
    <xf numFmtId="0" fontId="10" fillId="55" borderId="9" xfId="0" applyNumberFormat="1" applyFont="1" applyFill="1" applyBorder="1" applyAlignment="1">
      <alignment horizontal="center" vertical="center" wrapText="1"/>
    </xf>
    <xf numFmtId="2" fontId="10" fillId="55" borderId="9" xfId="0" applyNumberFormat="1" applyFont="1" applyFill="1" applyBorder="1" applyAlignment="1">
      <alignment vertical="center" wrapText="1"/>
    </xf>
    <xf numFmtId="0" fontId="0" fillId="55" borderId="9" xfId="0" applyFill="1" applyBorder="1"/>
    <xf numFmtId="0" fontId="10" fillId="55" borderId="5" xfId="1" applyFont="1" applyFill="1" applyBorder="1" applyAlignment="1" applyProtection="1">
      <alignment horizontal="center" vertical="center" wrapText="1"/>
      <protection locked="0"/>
    </xf>
    <xf numFmtId="2" fontId="10" fillId="55" borderId="9" xfId="0" applyNumberFormat="1" applyFont="1" applyFill="1" applyBorder="1" applyAlignment="1">
      <alignment horizontal="center" vertical="center" wrapText="1" shrinkToFit="1"/>
    </xf>
    <xf numFmtId="2" fontId="7" fillId="55" borderId="9" xfId="4" applyNumberFormat="1" applyFont="1" applyFill="1" applyBorder="1" applyAlignment="1" applyProtection="1">
      <alignment horizontal="center" vertical="center" wrapText="1"/>
    </xf>
    <xf numFmtId="0" fontId="7" fillId="55" borderId="27" xfId="0" applyFont="1" applyFill="1" applyBorder="1" applyAlignment="1">
      <alignment horizontal="center"/>
    </xf>
    <xf numFmtId="0" fontId="10" fillId="55" borderId="9" xfId="1" applyFont="1" applyFill="1" applyBorder="1" applyAlignment="1" applyProtection="1">
      <alignment horizontal="center"/>
      <protection locked="0"/>
    </xf>
    <xf numFmtId="2" fontId="10" fillId="55" borderId="9" xfId="2" applyNumberFormat="1" applyFont="1" applyFill="1" applyBorder="1" applyAlignment="1" applyProtection="1">
      <alignment horizontal="center" wrapText="1"/>
      <protection locked="0"/>
    </xf>
    <xf numFmtId="169" fontId="11" fillId="55" borderId="9" xfId="0" applyNumberFormat="1" applyFont="1" applyFill="1" applyBorder="1" applyAlignment="1">
      <alignment horizontal="center" vertical="center" wrapText="1"/>
    </xf>
    <xf numFmtId="1" fontId="10" fillId="55" borderId="9" xfId="0" applyNumberFormat="1" applyFont="1" applyFill="1" applyBorder="1" applyAlignment="1">
      <alignment horizontal="center"/>
    </xf>
    <xf numFmtId="2" fontId="11" fillId="55" borderId="9" xfId="0" applyNumberFormat="1" applyFont="1" applyFill="1" applyBorder="1" applyAlignment="1">
      <alignment horizontal="center" vertical="center" wrapText="1"/>
    </xf>
    <xf numFmtId="170" fontId="0" fillId="55" borderId="9" xfId="0" applyNumberFormat="1" applyFont="1" applyFill="1" applyBorder="1" applyAlignment="1">
      <alignment horizontal="center"/>
    </xf>
    <xf numFmtId="0" fontId="13" fillId="55" borderId="5" xfId="1" applyFont="1" applyFill="1" applyBorder="1" applyAlignment="1" applyProtection="1">
      <alignment horizontal="right" wrapText="1"/>
      <protection locked="0"/>
    </xf>
    <xf numFmtId="0" fontId="7" fillId="55" borderId="15" xfId="0" applyFont="1" applyFill="1" applyBorder="1" applyAlignment="1">
      <alignment horizontal="center"/>
    </xf>
    <xf numFmtId="2" fontId="7" fillId="55" borderId="15" xfId="0" applyNumberFormat="1" applyFont="1" applyFill="1" applyBorder="1" applyAlignment="1">
      <alignment horizontal="center"/>
    </xf>
    <xf numFmtId="2" fontId="0" fillId="55" borderId="33" xfId="0" applyNumberFormat="1" applyFont="1" applyFill="1" applyBorder="1" applyAlignment="1">
      <alignment horizontal="center"/>
    </xf>
    <xf numFmtId="169" fontId="0" fillId="55" borderId="33" xfId="0" applyNumberFormat="1" applyFont="1" applyFill="1" applyBorder="1" applyAlignment="1">
      <alignment horizontal="center"/>
    </xf>
    <xf numFmtId="169" fontId="0" fillId="55" borderId="16" xfId="0" applyNumberFormat="1" applyFont="1" applyFill="1" applyBorder="1" applyAlignment="1">
      <alignment horizontal="center"/>
    </xf>
    <xf numFmtId="2" fontId="10" fillId="55" borderId="15" xfId="0" applyNumberFormat="1" applyFont="1" applyFill="1" applyBorder="1" applyAlignment="1">
      <alignment horizontal="center"/>
    </xf>
    <xf numFmtId="2" fontId="10" fillId="55" borderId="16" xfId="0" applyNumberFormat="1" applyFont="1" applyFill="1" applyBorder="1" applyAlignment="1">
      <alignment horizontal="center"/>
    </xf>
    <xf numFmtId="0" fontId="0" fillId="55" borderId="17" xfId="0" applyFont="1" applyFill="1" applyBorder="1" applyAlignment="1">
      <alignment horizontal="center"/>
    </xf>
    <xf numFmtId="1" fontId="0" fillId="55" borderId="18" xfId="0" applyNumberFormat="1" applyFont="1" applyFill="1" applyBorder="1" applyAlignment="1">
      <alignment horizontal="center"/>
    </xf>
    <xf numFmtId="1" fontId="0" fillId="55" borderId="22" xfId="0" applyNumberFormat="1" applyFont="1" applyFill="1" applyBorder="1" applyAlignment="1">
      <alignment horizontal="center"/>
    </xf>
    <xf numFmtId="1" fontId="0" fillId="55" borderId="23" xfId="0" applyNumberFormat="1" applyFont="1" applyFill="1" applyBorder="1" applyAlignment="1">
      <alignment horizontal="center"/>
    </xf>
    <xf numFmtId="0" fontId="13" fillId="55" borderId="9" xfId="1" applyFont="1" applyFill="1" applyBorder="1" applyAlignment="1" applyProtection="1">
      <alignment horizontal="right" wrapText="1"/>
      <protection locked="0"/>
    </xf>
    <xf numFmtId="1" fontId="0" fillId="55" borderId="14" xfId="0" applyNumberFormat="1" applyFont="1" applyFill="1" applyBorder="1" applyAlignment="1">
      <alignment horizontal="center"/>
    </xf>
    <xf numFmtId="168" fontId="0" fillId="55" borderId="9" xfId="0" applyNumberFormat="1" applyFont="1" applyFill="1" applyBorder="1"/>
    <xf numFmtId="169" fontId="0" fillId="55" borderId="9" xfId="0" applyNumberFormat="1" applyFont="1" applyFill="1" applyBorder="1"/>
    <xf numFmtId="2" fontId="9" fillId="55" borderId="9" xfId="0" applyNumberFormat="1" applyFont="1" applyFill="1" applyBorder="1" applyAlignment="1">
      <alignment horizontal="center"/>
    </xf>
    <xf numFmtId="2" fontId="0" fillId="55" borderId="9" xfId="0" applyNumberFormat="1" applyFont="1" applyFill="1" applyBorder="1"/>
    <xf numFmtId="0" fontId="0" fillId="55" borderId="9" xfId="0" applyFont="1" applyFill="1" applyBorder="1" applyAlignment="1">
      <alignment vertical="center"/>
    </xf>
    <xf numFmtId="1" fontId="3" fillId="55" borderId="9" xfId="0" applyNumberFormat="1" applyFont="1" applyFill="1" applyBorder="1" applyAlignment="1">
      <alignment horizontal="center" vertical="center" wrapText="1"/>
    </xf>
    <xf numFmtId="2" fontId="7" fillId="55" borderId="9" xfId="0" applyNumberFormat="1" applyFont="1" applyFill="1" applyBorder="1" applyAlignment="1">
      <alignment horizontal="center" vertical="center"/>
    </xf>
    <xf numFmtId="2" fontId="10" fillId="55" borderId="27" xfId="0" applyNumberFormat="1" applyFont="1" applyFill="1" applyBorder="1" applyAlignment="1">
      <alignment horizontal="center"/>
    </xf>
    <xf numFmtId="2" fontId="7" fillId="55" borderId="9" xfId="0" applyNumberFormat="1" applyFont="1" applyFill="1" applyBorder="1" applyAlignment="1">
      <alignment horizontal="center" vertical="center" wrapText="1"/>
    </xf>
    <xf numFmtId="0" fontId="0" fillId="55" borderId="9" xfId="0" applyFont="1" applyFill="1" applyBorder="1" applyAlignment="1">
      <alignment horizontal="center" vertical="center"/>
    </xf>
    <xf numFmtId="0" fontId="10" fillId="55" borderId="9" xfId="2" applyFont="1" applyFill="1" applyBorder="1" applyAlignment="1" applyProtection="1">
      <alignment horizontal="center" vertical="center" wrapText="1"/>
      <protection locked="0"/>
    </xf>
    <xf numFmtId="0" fontId="3" fillId="55" borderId="9" xfId="0" applyFont="1" applyFill="1" applyBorder="1" applyAlignment="1">
      <alignment vertical="center" wrapText="1"/>
    </xf>
    <xf numFmtId="0" fontId="3" fillId="55" borderId="9" xfId="0" applyFont="1" applyFill="1" applyBorder="1" applyAlignment="1">
      <alignment horizontal="center" vertical="center" wrapText="1"/>
    </xf>
    <xf numFmtId="0" fontId="0" fillId="55" borderId="9" xfId="0" applyFont="1" applyFill="1" applyBorder="1" applyAlignment="1">
      <alignment vertical="center" wrapText="1"/>
    </xf>
    <xf numFmtId="0" fontId="0" fillId="55" borderId="9" xfId="0" applyFont="1" applyFill="1" applyBorder="1" applyAlignment="1">
      <alignment horizontal="center" vertical="center" wrapText="1"/>
    </xf>
    <xf numFmtId="0" fontId="0" fillId="55" borderId="9" xfId="0" applyFill="1" applyBorder="1" applyAlignment="1">
      <alignment horizontal="center" vertical="center" wrapText="1"/>
    </xf>
    <xf numFmtId="49" fontId="3" fillId="55" borderId="9" xfId="0" applyNumberFormat="1" applyFont="1" applyFill="1" applyBorder="1" applyAlignment="1">
      <alignment horizontal="center" vertical="center" wrapText="1"/>
    </xf>
    <xf numFmtId="0" fontId="0" fillId="55" borderId="9" xfId="0" applyFill="1" applyBorder="1" applyAlignment="1">
      <alignment vertical="center" wrapText="1"/>
    </xf>
    <xf numFmtId="1" fontId="0" fillId="55" borderId="9" xfId="0" applyNumberFormat="1" applyFont="1" applyFill="1" applyBorder="1"/>
    <xf numFmtId="2" fontId="12" fillId="55" borderId="9" xfId="0" applyNumberFormat="1" applyFont="1" applyFill="1" applyBorder="1" applyAlignment="1">
      <alignment horizontal="center"/>
    </xf>
    <xf numFmtId="0" fontId="3" fillId="55" borderId="9" xfId="0" applyFont="1" applyFill="1" applyBorder="1" applyAlignment="1">
      <alignment horizontal="left"/>
    </xf>
    <xf numFmtId="0" fontId="13" fillId="55" borderId="9" xfId="1" applyFont="1" applyFill="1" applyBorder="1" applyAlignment="1" applyProtection="1">
      <alignment horizontal="right" vertical="center" wrapText="1"/>
      <protection locked="0"/>
    </xf>
    <xf numFmtId="0" fontId="3" fillId="55" borderId="9" xfId="1" applyFont="1" applyFill="1" applyBorder="1" applyAlignment="1" applyProtection="1">
      <alignment horizontal="left" wrapText="1"/>
      <protection locked="0"/>
    </xf>
    <xf numFmtId="0" fontId="18" fillId="55" borderId="9" xfId="1" applyFont="1" applyFill="1" applyBorder="1" applyAlignment="1" applyProtection="1">
      <alignment horizontal="left" vertical="center" wrapText="1"/>
      <protection locked="0"/>
    </xf>
    <xf numFmtId="0" fontId="7" fillId="55" borderId="9" xfId="1" applyFont="1" applyFill="1" applyBorder="1" applyAlignment="1" applyProtection="1">
      <alignment horizontal="left" vertical="center" wrapText="1"/>
      <protection locked="0"/>
    </xf>
    <xf numFmtId="3" fontId="10" fillId="55" borderId="9" xfId="1" applyNumberFormat="1" applyFont="1" applyFill="1" applyBorder="1" applyAlignment="1" applyProtection="1">
      <alignment horizontal="center" vertical="center" wrapText="1"/>
      <protection locked="0"/>
    </xf>
    <xf numFmtId="169" fontId="10" fillId="55" borderId="9" xfId="1" applyNumberFormat="1" applyFont="1" applyFill="1" applyBorder="1" applyAlignment="1" applyProtection="1">
      <alignment horizontal="center" vertical="center" wrapText="1"/>
      <protection locked="0"/>
    </xf>
    <xf numFmtId="0" fontId="10" fillId="55" borderId="9" xfId="0" applyNumberFormat="1" applyFont="1" applyFill="1" applyBorder="1" applyAlignment="1">
      <alignment vertical="center" wrapText="1"/>
    </xf>
    <xf numFmtId="2" fontId="10" fillId="55" borderId="9" xfId="1" applyNumberFormat="1" applyFont="1" applyFill="1" applyBorder="1" applyAlignment="1" applyProtection="1">
      <alignment horizontal="center"/>
      <protection locked="0"/>
    </xf>
    <xf numFmtId="0" fontId="3" fillId="55" borderId="9" xfId="0" applyFont="1" applyFill="1" applyBorder="1" applyAlignment="1">
      <alignment wrapText="1"/>
    </xf>
    <xf numFmtId="0" fontId="0" fillId="55" borderId="9" xfId="0" applyFont="1" applyFill="1" applyBorder="1" applyAlignment="1">
      <alignment horizontal="center" wrapText="1"/>
    </xf>
    <xf numFmtId="170" fontId="7" fillId="55" borderId="9" xfId="0" applyNumberFormat="1" applyFont="1" applyFill="1" applyBorder="1" applyAlignment="1">
      <alignment horizontal="center"/>
    </xf>
    <xf numFmtId="0" fontId="14" fillId="55" borderId="9" xfId="0" applyFont="1" applyFill="1" applyBorder="1" applyAlignment="1">
      <alignment horizontal="right"/>
    </xf>
    <xf numFmtId="0" fontId="3" fillId="55" borderId="9" xfId="0" applyNumberFormat="1" applyFont="1" applyFill="1" applyBorder="1" applyAlignment="1">
      <alignment vertical="center" wrapText="1"/>
    </xf>
    <xf numFmtId="0" fontId="18" fillId="55" borderId="9" xfId="0" applyFont="1" applyFill="1" applyBorder="1" applyAlignment="1">
      <alignment horizontal="center"/>
    </xf>
    <xf numFmtId="171" fontId="0" fillId="55" borderId="9" xfId="0" applyNumberFormat="1" applyFont="1" applyFill="1" applyBorder="1"/>
    <xf numFmtId="0" fontId="10" fillId="55" borderId="9" xfId="1" applyFont="1" applyFill="1" applyBorder="1" applyAlignment="1" applyProtection="1">
      <alignment horizontal="left" vertical="center" wrapText="1"/>
      <protection locked="0"/>
    </xf>
    <xf numFmtId="0" fontId="7" fillId="55" borderId="9" xfId="1" applyFont="1" applyFill="1" applyBorder="1" applyAlignment="1" applyProtection="1">
      <alignment horizontal="center" vertical="center" wrapText="1"/>
      <protection locked="0"/>
    </xf>
    <xf numFmtId="168" fontId="3" fillId="55" borderId="9" xfId="0" applyNumberFormat="1" applyFont="1" applyFill="1" applyBorder="1" applyAlignment="1">
      <alignment horizontal="center"/>
    </xf>
    <xf numFmtId="0" fontId="9" fillId="55" borderId="9" xfId="0" applyFont="1" applyFill="1" applyBorder="1"/>
    <xf numFmtId="0" fontId="7" fillId="55" borderId="9" xfId="1" applyFont="1" applyFill="1" applyBorder="1" applyAlignment="1" applyProtection="1">
      <alignment horizontal="center" wrapText="1"/>
      <protection locked="0"/>
    </xf>
    <xf numFmtId="2" fontId="7" fillId="55" borderId="9" xfId="1" applyNumberFormat="1" applyFont="1" applyFill="1" applyBorder="1" applyAlignment="1" applyProtection="1">
      <alignment horizontal="center" wrapText="1"/>
      <protection locked="0"/>
    </xf>
    <xf numFmtId="1" fontId="10" fillId="55" borderId="9" xfId="0" applyNumberFormat="1" applyFont="1" applyFill="1" applyBorder="1" applyAlignment="1">
      <alignment horizontal="center" vertical="center" wrapText="1"/>
    </xf>
    <xf numFmtId="2" fontId="7" fillId="55" borderId="9" xfId="1" applyNumberFormat="1" applyFont="1" applyFill="1" applyBorder="1" applyAlignment="1" applyProtection="1">
      <alignment horizontal="center" vertical="center" wrapText="1"/>
      <protection locked="0"/>
    </xf>
    <xf numFmtId="2" fontId="19" fillId="55" borderId="9" xfId="0" applyNumberFormat="1" applyFont="1" applyFill="1" applyBorder="1" applyAlignment="1">
      <alignment horizontal="center"/>
    </xf>
    <xf numFmtId="4" fontId="0" fillId="55" borderId="9" xfId="0" applyNumberFormat="1" applyFont="1" applyFill="1" applyBorder="1" applyAlignment="1">
      <alignment horizontal="center"/>
    </xf>
    <xf numFmtId="0" fontId="0" fillId="55" borderId="9" xfId="0" applyFill="1" applyBorder="1" applyAlignment="1">
      <alignment horizontal="center"/>
    </xf>
    <xf numFmtId="172" fontId="0" fillId="55" borderId="9" xfId="0" applyNumberFormat="1" applyFont="1" applyFill="1" applyBorder="1" applyAlignment="1">
      <alignment horizontal="center"/>
    </xf>
    <xf numFmtId="3" fontId="0" fillId="55" borderId="9" xfId="0" applyNumberFormat="1" applyFont="1" applyFill="1" applyBorder="1" applyAlignment="1">
      <alignment horizontal="center"/>
    </xf>
    <xf numFmtId="4" fontId="0" fillId="55" borderId="9" xfId="0" applyNumberFormat="1" applyFont="1" applyFill="1" applyBorder="1"/>
    <xf numFmtId="0" fontId="10" fillId="55" borderId="5" xfId="1" applyFont="1" applyFill="1" applyBorder="1" applyAlignment="1" applyProtection="1">
      <alignment horizontal="center"/>
      <protection locked="0"/>
    </xf>
    <xf numFmtId="1" fontId="3" fillId="55" borderId="27" xfId="0" applyNumberFormat="1" applyFont="1" applyFill="1" applyBorder="1" applyAlignment="1">
      <alignment horizontal="center"/>
    </xf>
    <xf numFmtId="1" fontId="0" fillId="55" borderId="27" xfId="0" applyNumberFormat="1" applyFont="1" applyFill="1" applyBorder="1" applyAlignment="1">
      <alignment horizontal="center"/>
    </xf>
    <xf numFmtId="0" fontId="3" fillId="55" borderId="11" xfId="0" applyFont="1" applyFill="1" applyBorder="1"/>
    <xf numFmtId="2" fontId="10" fillId="55" borderId="27" xfId="0" applyNumberFormat="1" applyFont="1" applyFill="1" applyBorder="1" applyAlignment="1">
      <alignment horizontal="center" vertical="center"/>
    </xf>
    <xf numFmtId="0" fontId="13" fillId="55" borderId="5" xfId="1" applyFont="1" applyFill="1" applyBorder="1" applyAlignment="1" applyProtection="1">
      <alignment horizontal="right" vertical="center" wrapText="1"/>
      <protection locked="0"/>
    </xf>
    <xf numFmtId="0" fontId="10" fillId="55" borderId="32" xfId="1" applyFont="1" applyFill="1" applyBorder="1" applyAlignment="1" applyProtection="1">
      <alignment horizontal="center" vertical="center" wrapText="1"/>
      <protection locked="0"/>
    </xf>
    <xf numFmtId="2" fontId="10" fillId="55" borderId="5" xfId="1" applyNumberFormat="1" applyFont="1" applyFill="1" applyBorder="1" applyAlignment="1" applyProtection="1">
      <alignment horizontal="center"/>
      <protection locked="0"/>
    </xf>
    <xf numFmtId="2" fontId="7" fillId="55" borderId="17" xfId="0" applyNumberFormat="1" applyFont="1" applyFill="1" applyBorder="1" applyAlignment="1">
      <alignment horizontal="center"/>
    </xf>
    <xf numFmtId="1" fontId="3" fillId="55" borderId="15" xfId="0" applyNumberFormat="1" applyFont="1" applyFill="1" applyBorder="1" applyAlignment="1">
      <alignment horizontal="center"/>
    </xf>
    <xf numFmtId="1" fontId="0" fillId="55" borderId="15" xfId="0" applyNumberFormat="1" applyFont="1" applyFill="1" applyBorder="1" applyAlignment="1">
      <alignment horizontal="center"/>
    </xf>
    <xf numFmtId="1" fontId="11" fillId="55" borderId="15" xfId="0" applyNumberFormat="1" applyFont="1" applyFill="1" applyBorder="1" applyAlignment="1">
      <alignment horizontal="center"/>
    </xf>
    <xf numFmtId="2" fontId="10" fillId="55" borderId="14" xfId="0" applyNumberFormat="1" applyFont="1" applyFill="1" applyBorder="1" applyAlignment="1">
      <alignment horizontal="center" vertical="center" wrapText="1"/>
    </xf>
    <xf numFmtId="1" fontId="3" fillId="55" borderId="14" xfId="0" applyNumberFormat="1" applyFont="1" applyFill="1" applyBorder="1" applyAlignment="1">
      <alignment horizontal="center"/>
    </xf>
    <xf numFmtId="2" fontId="7" fillId="55" borderId="14" xfId="0" applyNumberFormat="1" applyFont="1" applyFill="1" applyBorder="1" applyAlignment="1" applyProtection="1">
      <alignment horizontal="center"/>
      <protection locked="0"/>
    </xf>
    <xf numFmtId="49" fontId="3" fillId="0" borderId="6" xfId="0" applyNumberFormat="1" applyFont="1" applyFill="1" applyBorder="1" applyAlignment="1">
      <alignment horizontal="center"/>
    </xf>
    <xf numFmtId="0" fontId="7" fillId="0" borderId="10" xfId="0" applyFont="1" applyFill="1" applyBorder="1" applyAlignment="1"/>
    <xf numFmtId="0" fontId="7" fillId="0" borderId="6" xfId="0" applyFont="1" applyFill="1" applyBorder="1" applyAlignment="1"/>
    <xf numFmtId="0" fontId="7" fillId="0" borderId="13" xfId="0" applyFont="1" applyFill="1" applyBorder="1" applyAlignment="1"/>
    <xf numFmtId="0" fontId="7" fillId="0" borderId="1" xfId="0" applyFont="1" applyFill="1" applyBorder="1" applyAlignment="1"/>
    <xf numFmtId="2" fontId="10" fillId="55" borderId="9" xfId="0" applyNumberFormat="1" applyFont="1" applyFill="1" applyBorder="1" applyAlignment="1">
      <alignment horizontal="center" vertical="center"/>
    </xf>
    <xf numFmtId="0" fontId="10" fillId="55" borderId="9" xfId="0" applyNumberFormat="1" applyFont="1" applyFill="1" applyBorder="1" applyAlignment="1">
      <alignment horizontal="center" vertical="center" wrapText="1"/>
    </xf>
    <xf numFmtId="2" fontId="10" fillId="55" borderId="9" xfId="0" applyNumberFormat="1" applyFont="1" applyFill="1" applyBorder="1" applyAlignment="1">
      <alignment horizontal="center" vertical="center" wrapText="1"/>
    </xf>
    <xf numFmtId="2" fontId="10" fillId="55" borderId="9" xfId="0" applyNumberFormat="1" applyFont="1" applyFill="1" applyBorder="1" applyAlignment="1">
      <alignment horizontal="center"/>
    </xf>
    <xf numFmtId="0" fontId="0" fillId="55" borderId="9" xfId="0" applyFont="1" applyFill="1" applyBorder="1" applyAlignment="1">
      <alignment horizontal="center" vertical="center" wrapText="1"/>
    </xf>
    <xf numFmtId="2" fontId="10" fillId="55" borderId="9" xfId="0" applyNumberFormat="1" applyFont="1" applyFill="1" applyBorder="1" applyAlignment="1">
      <alignment horizontal="center" vertical="center" wrapText="1" shrinkToFit="1"/>
    </xf>
    <xf numFmtId="0" fontId="10" fillId="55" borderId="9" xfId="0" applyNumberFormat="1" applyFont="1" applyFill="1" applyBorder="1" applyAlignment="1">
      <alignment horizontal="center" vertical="center" wrapText="1"/>
    </xf>
    <xf numFmtId="2" fontId="10" fillId="55" borderId="9" xfId="0" applyNumberFormat="1" applyFont="1" applyFill="1" applyBorder="1" applyAlignment="1">
      <alignment horizontal="center" vertical="center"/>
    </xf>
    <xf numFmtId="2" fontId="10" fillId="55" borderId="9" xfId="0" applyNumberFormat="1" applyFont="1" applyFill="1" applyBorder="1" applyAlignment="1">
      <alignment horizontal="center" vertical="center" wrapText="1"/>
    </xf>
    <xf numFmtId="2" fontId="10" fillId="55" borderId="9" xfId="0" applyNumberFormat="1" applyFont="1" applyFill="1" applyBorder="1" applyAlignment="1">
      <alignment horizontal="center"/>
    </xf>
    <xf numFmtId="2" fontId="10" fillId="55" borderId="9" xfId="0" applyNumberFormat="1" applyFont="1" applyFill="1" applyBorder="1" applyAlignment="1">
      <alignment horizontal="center" vertical="center" wrapText="1" shrinkToFit="1"/>
    </xf>
    <xf numFmtId="0" fontId="3" fillId="55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55" borderId="9" xfId="0" applyFont="1" applyFill="1" applyBorder="1" applyAlignment="1">
      <alignment horizontal="center" vertical="center" wrapText="1"/>
    </xf>
    <xf numFmtId="2" fontId="0" fillId="55" borderId="9" xfId="0" applyNumberFormat="1" applyFont="1" applyFill="1" applyBorder="1" applyAlignment="1">
      <alignment horizontal="center" vertical="center" wrapText="1"/>
    </xf>
    <xf numFmtId="0" fontId="3" fillId="55" borderId="9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7" fillId="55" borderId="9" xfId="1" applyFont="1" applyFill="1" applyBorder="1" applyAlignment="1" applyProtection="1">
      <alignment horizontal="center" vertical="center" wrapText="1"/>
      <protection locked="0"/>
    </xf>
    <xf numFmtId="0" fontId="4" fillId="55" borderId="0" xfId="0" applyFont="1" applyFill="1" applyBorder="1" applyAlignment="1">
      <alignment horizontal="right" vertical="center" wrapText="1"/>
    </xf>
  </cellXfs>
  <cellStyles count="2425">
    <cellStyle name=" 1" xfId="5"/>
    <cellStyle name="_x000a_bidires=100_x000d_" xfId="6"/>
    <cellStyle name="%" xfId="7"/>
    <cellStyle name="%_Inputs" xfId="8"/>
    <cellStyle name="%_Inputs (const)" xfId="9"/>
    <cellStyle name="%_Inputs Co" xfId="10"/>
    <cellStyle name="?…?ж?Ш?и [0.00]" xfId="11"/>
    <cellStyle name="?W??_‘O’с?р??" xfId="12"/>
    <cellStyle name="_CashFlow_2007_проект_02_02_final" xfId="13"/>
    <cellStyle name="_Model_RAB Мой" xfId="14"/>
    <cellStyle name="_Model_RAB Мой 2" xfId="15"/>
    <cellStyle name="_Model_RAB Мой 2_OREP.KU.2011.MONTHLY.02(v0.1)" xfId="16"/>
    <cellStyle name="_Model_RAB Мой 2_OREP.KU.2011.MONTHLY.02(v0.4)" xfId="17"/>
    <cellStyle name="_Model_RAB Мой 2_OREP.KU.2011.MONTHLY.11(v1.4)" xfId="18"/>
    <cellStyle name="_Model_RAB Мой 2_OREP.KU.2011.MONTHLY.11(v1.4)_UPDATE.BALANCE.WARM.2012YEAR.TO.1.1" xfId="19"/>
    <cellStyle name="_Model_RAB Мой 2_OREP.KU.2011.MONTHLY.11(v1.4)_UPDATE.CALC.WARM.2012YEAR.TO.1.1" xfId="20"/>
    <cellStyle name="_Model_RAB Мой 2_UPDATE.BALANCE.WARM.2012YEAR.TO.1.1" xfId="21"/>
    <cellStyle name="_Model_RAB Мой 2_UPDATE.CALC.WARM.2012YEAR.TO.1.1" xfId="22"/>
    <cellStyle name="_Model_RAB Мой 2_UPDATE.MONITORING.OS.EE.2.02.TO.1.3.64" xfId="23"/>
    <cellStyle name="_Model_RAB Мой 2_UPDATE.OREP.KU.2011.MONTHLY.02.TO.1.2" xfId="24"/>
    <cellStyle name="_Model_RAB Мой_46EE.2011(v1.0)" xfId="25"/>
    <cellStyle name="_Model_RAB Мой_46EE.2011(v1.0)_46TE.2011(v1.0)" xfId="26"/>
    <cellStyle name="_Model_RAB Мой_46EE.2011(v1.0)_INDEX.STATION.2012(v1.0)_" xfId="27"/>
    <cellStyle name="_Model_RAB Мой_46EE.2011(v1.0)_INDEX.STATION.2012(v2.0)" xfId="28"/>
    <cellStyle name="_Model_RAB Мой_46EE.2011(v1.0)_INDEX.STATION.2012(v2.1)" xfId="29"/>
    <cellStyle name="_Model_RAB Мой_46EE.2011(v1.0)_TEPLO.PREDEL.2012.M(v1.1)_test" xfId="30"/>
    <cellStyle name="_Model_RAB Мой_46EE.2011(v1.2)" xfId="31"/>
    <cellStyle name="_Model_RAB Мой_46EP.2011(v2.0)" xfId="32"/>
    <cellStyle name="_Model_RAB Мой_46EP.2012(v0.1)" xfId="33"/>
    <cellStyle name="_Model_RAB Мой_46TE.2011(v1.0)" xfId="34"/>
    <cellStyle name="_Model_RAB Мой_4DNS.UPDATE.EXAMPLE" xfId="35"/>
    <cellStyle name="_Model_RAB Мой_ARMRAZR" xfId="36"/>
    <cellStyle name="_Model_RAB Мой_BALANCE.VODOSN.2011YEAR_Глазов" xfId="37"/>
    <cellStyle name="_Model_RAB Мой_BALANCE.WARM.2010.FACT(v1.0)" xfId="38"/>
    <cellStyle name="_Model_RAB Мой_BALANCE.WARM.2010.PLAN" xfId="39"/>
    <cellStyle name="_Model_RAB Мой_BALANCE.WARM.2011YEAR(v0.7)" xfId="40"/>
    <cellStyle name="_Model_RAB Мой_BALANCE.WARM.2011YEAR.NEW.UPDATE.SCHEME" xfId="41"/>
    <cellStyle name="_Model_RAB Мой_CALC.NORMATIV.KU(v0.2)" xfId="42"/>
    <cellStyle name="_Model_RAB Мой_EE.2REK.P2011.4.78(v0.3)" xfId="43"/>
    <cellStyle name="_Model_RAB Мой_FORM3.1.2013(v0.2)" xfId="44"/>
    <cellStyle name="_Model_RAB Мой_FORM3.2013(v1.0)" xfId="45"/>
    <cellStyle name="_Model_RAB Мой_FORM3.REG(v1.0)" xfId="46"/>
    <cellStyle name="_Model_RAB Мой_FORM910.2012(v1.1)" xfId="47"/>
    <cellStyle name="_Model_RAB Мой_INDEX.STATION.2012(v2.1)" xfId="48"/>
    <cellStyle name="_Model_RAB Мой_INDEX.STATION.2013(v1.0)_патч до 1.1" xfId="49"/>
    <cellStyle name="_Model_RAB Мой_INVEST.EE.PLAN.4.78(v0.1)" xfId="50"/>
    <cellStyle name="_Model_RAB Мой_INVEST.EE.PLAN.4.78(v0.3)" xfId="51"/>
    <cellStyle name="_Model_RAB Мой_INVEST.EE.PLAN.4.78(v1.0)" xfId="52"/>
    <cellStyle name="_Model_RAB Мой_INVEST.EE.PLAN.4.78(v1.0)_PASSPORT.TEPLO.PROIZV(v2.0)" xfId="53"/>
    <cellStyle name="_Model_RAB Мой_INVEST.EE.PLAN.4.78(v1.0)_PASSPORT.TEPLO.PROIZV(v2.0)_INDEX.STATION.2013(v1.0)_патч до 1.1" xfId="54"/>
    <cellStyle name="_Model_RAB Мой_INVEST.EE.PLAN.4.78(v1.0)_PASSPORT.TEPLO.PROIZV(v2.0)_TEPLO.PREDEL.2013(v2.0)" xfId="55"/>
    <cellStyle name="_Model_RAB Мой_INVEST.PLAN.4.78(v0.1)" xfId="56"/>
    <cellStyle name="_Model_RAB Мой_INVEST.WARM.PLAN.4.78(v0.1)" xfId="57"/>
    <cellStyle name="_Model_RAB Мой_INVEST_WARM_PLAN" xfId="58"/>
    <cellStyle name="_Model_RAB Мой_NADB.JNVLP.APTEKA.2012(v1.0)_21_02_12" xfId="59"/>
    <cellStyle name="_Model_RAB Мой_NADB.JNVLS.APTEKA.2011(v1.3.3)" xfId="60"/>
    <cellStyle name="_Model_RAB Мой_NADB.JNVLS.APTEKA.2011(v1.3.3)_46TE.2011(v1.0)" xfId="61"/>
    <cellStyle name="_Model_RAB Мой_NADB.JNVLS.APTEKA.2011(v1.3.3)_INDEX.STATION.2012(v1.0)_" xfId="62"/>
    <cellStyle name="_Model_RAB Мой_NADB.JNVLS.APTEKA.2011(v1.3.3)_INDEX.STATION.2012(v2.0)" xfId="63"/>
    <cellStyle name="_Model_RAB Мой_NADB.JNVLS.APTEKA.2011(v1.3.3)_INDEX.STATION.2012(v2.1)" xfId="64"/>
    <cellStyle name="_Model_RAB Мой_NADB.JNVLS.APTEKA.2011(v1.3.3)_TEPLO.PREDEL.2012.M(v1.1)_test" xfId="65"/>
    <cellStyle name="_Model_RAB Мой_NADB.JNVLS.APTEKA.2011(v1.3.4)" xfId="66"/>
    <cellStyle name="_Model_RAB Мой_NADB.JNVLS.APTEKA.2011(v1.3.4)_46TE.2011(v1.0)" xfId="67"/>
    <cellStyle name="_Model_RAB Мой_NADB.JNVLS.APTEKA.2011(v1.3.4)_INDEX.STATION.2012(v1.0)_" xfId="68"/>
    <cellStyle name="_Model_RAB Мой_NADB.JNVLS.APTEKA.2011(v1.3.4)_INDEX.STATION.2012(v2.0)" xfId="69"/>
    <cellStyle name="_Model_RAB Мой_NADB.JNVLS.APTEKA.2011(v1.3.4)_INDEX.STATION.2012(v2.1)" xfId="70"/>
    <cellStyle name="_Model_RAB Мой_NADB.JNVLS.APTEKA.2011(v1.3.4)_TEPLO.PREDEL.2012.M(v1.1)_test" xfId="71"/>
    <cellStyle name="_Model_RAB Мой_PASSPORT.TEPLO.PROIZV(v2.0)" xfId="72"/>
    <cellStyle name="_Model_RAB Мой_PASSPORT.TEPLO.PROIZV(v2.1)" xfId="73"/>
    <cellStyle name="_Model_RAB Мой_PASSPORT.TEPLO.SETI(v0.7)" xfId="74"/>
    <cellStyle name="_Model_RAB Мой_PASSPORT.TEPLO.SETI(v1.0)" xfId="75"/>
    <cellStyle name="_Model_RAB Мой_PREDEL.JKH.UTV.2011(v1.0.1)" xfId="76"/>
    <cellStyle name="_Model_RAB Мой_PREDEL.JKH.UTV.2011(v1.0.1)_46TE.2011(v1.0)" xfId="77"/>
    <cellStyle name="_Model_RAB Мой_PREDEL.JKH.UTV.2011(v1.0.1)_INDEX.STATION.2012(v1.0)_" xfId="78"/>
    <cellStyle name="_Model_RAB Мой_PREDEL.JKH.UTV.2011(v1.0.1)_INDEX.STATION.2012(v2.0)" xfId="79"/>
    <cellStyle name="_Model_RAB Мой_PREDEL.JKH.UTV.2011(v1.0.1)_INDEX.STATION.2012(v2.1)" xfId="80"/>
    <cellStyle name="_Model_RAB Мой_PREDEL.JKH.UTV.2011(v1.0.1)_TEPLO.PREDEL.2012.M(v1.1)_test" xfId="81"/>
    <cellStyle name="_Model_RAB Мой_PREDEL.JKH.UTV.2011(v1.1)" xfId="82"/>
    <cellStyle name="_Model_RAB Мой_REP.BLR.2012(v1.0)" xfId="83"/>
    <cellStyle name="_Model_RAB Мой_TEHSHEET" xfId="84"/>
    <cellStyle name="_Model_RAB Мой_TEPLO.PREDEL.2012.M(v1.1)" xfId="85"/>
    <cellStyle name="_Model_RAB Мой_TEPLO.PREDEL.2013(v2.0)" xfId="86"/>
    <cellStyle name="_Model_RAB Мой_TEST.TEMPLATE" xfId="87"/>
    <cellStyle name="_Model_RAB Мой_UPDATE.46EE.2011.TO.1.1" xfId="88"/>
    <cellStyle name="_Model_RAB Мой_UPDATE.46TE.2011.TO.1.1" xfId="89"/>
    <cellStyle name="_Model_RAB Мой_UPDATE.46TE.2011.TO.1.2" xfId="90"/>
    <cellStyle name="_Model_RAB Мой_UPDATE.BALANCE.WARM.2011YEAR.TO.1.1" xfId="91"/>
    <cellStyle name="_Model_RAB Мой_UPDATE.BALANCE.WARM.2011YEAR.TO.1.1 2" xfId="92"/>
    <cellStyle name="_Model_RAB Мой_UPDATE.BALANCE.WARM.2011YEAR.TO.1.1_46TE.2011(v1.0)" xfId="93"/>
    <cellStyle name="_Model_RAB Мой_UPDATE.BALANCE.WARM.2011YEAR.TO.1.1_INDEX.STATION.2012(v1.0)_" xfId="94"/>
    <cellStyle name="_Model_RAB Мой_UPDATE.BALANCE.WARM.2011YEAR.TO.1.1_INDEX.STATION.2012(v2.0)" xfId="95"/>
    <cellStyle name="_Model_RAB Мой_UPDATE.BALANCE.WARM.2011YEAR.TO.1.1_INDEX.STATION.2012(v2.1)" xfId="96"/>
    <cellStyle name="_Model_RAB Мой_UPDATE.BALANCE.WARM.2011YEAR.TO.1.1_OREP.KU.2011.MONTHLY.02(v1.1)" xfId="97"/>
    <cellStyle name="_Model_RAB Мой_UPDATE.BALANCE.WARM.2011YEAR.TO.1.1_TEPLO.PREDEL.2012.M(v1.1)_test" xfId="98"/>
    <cellStyle name="_Model_RAB Мой_UPDATE.BALANCE.WARM.2011YEAR.TO.1.1_UPDATE.BALANCE.VODOSN.2011YEAR.TO.1.1" xfId="99"/>
    <cellStyle name="_Model_RAB Мой_UPDATE.BALANCE.WARM.2011YEAR.TO.1.2" xfId="100"/>
    <cellStyle name="_Model_RAB Мой_UPDATE.BALANCE.WARM.2011YEAR.TO.1.4.64" xfId="101"/>
    <cellStyle name="_Model_RAB Мой_UPDATE.BALANCE.WARM.2011YEAR.TO.1.5.64" xfId="102"/>
    <cellStyle name="_Model_RAB Мой_UPDATE.MONITORING.OS.EE.2.02.TO.1.3.64" xfId="103"/>
    <cellStyle name="_Model_RAB Мой_UPDATE.NADB.JNVLS.APTEKA.2011.TO.1.3.4" xfId="104"/>
    <cellStyle name="_Model_RAB_MRSK_svod" xfId="105"/>
    <cellStyle name="_Model_RAB_MRSK_svod 2" xfId="106"/>
    <cellStyle name="_Model_RAB_MRSK_svod 2_OREP.KU.2011.MONTHLY.02(v0.1)" xfId="107"/>
    <cellStyle name="_Model_RAB_MRSK_svod 2_OREP.KU.2011.MONTHLY.02(v0.4)" xfId="108"/>
    <cellStyle name="_Model_RAB_MRSK_svod 2_OREP.KU.2011.MONTHLY.11(v1.4)" xfId="109"/>
    <cellStyle name="_Model_RAB_MRSK_svod 2_OREP.KU.2011.MONTHLY.11(v1.4)_UPDATE.BALANCE.WARM.2012YEAR.TO.1.1" xfId="110"/>
    <cellStyle name="_Model_RAB_MRSK_svod 2_OREP.KU.2011.MONTHLY.11(v1.4)_UPDATE.CALC.WARM.2012YEAR.TO.1.1" xfId="111"/>
    <cellStyle name="_Model_RAB_MRSK_svod 2_UPDATE.BALANCE.WARM.2012YEAR.TO.1.1" xfId="112"/>
    <cellStyle name="_Model_RAB_MRSK_svod 2_UPDATE.CALC.WARM.2012YEAR.TO.1.1" xfId="113"/>
    <cellStyle name="_Model_RAB_MRSK_svod 2_UPDATE.MONITORING.OS.EE.2.02.TO.1.3.64" xfId="114"/>
    <cellStyle name="_Model_RAB_MRSK_svod 2_UPDATE.OREP.KU.2011.MONTHLY.02.TO.1.2" xfId="115"/>
    <cellStyle name="_Model_RAB_MRSK_svod_46EE.2011(v1.0)" xfId="116"/>
    <cellStyle name="_Model_RAB_MRSK_svod_46EE.2011(v1.0)_46TE.2011(v1.0)" xfId="117"/>
    <cellStyle name="_Model_RAB_MRSK_svod_46EE.2011(v1.0)_INDEX.STATION.2012(v1.0)_" xfId="118"/>
    <cellStyle name="_Model_RAB_MRSK_svod_46EE.2011(v1.0)_INDEX.STATION.2012(v2.0)" xfId="119"/>
    <cellStyle name="_Model_RAB_MRSK_svod_46EE.2011(v1.0)_INDEX.STATION.2012(v2.1)" xfId="120"/>
    <cellStyle name="_Model_RAB_MRSK_svod_46EE.2011(v1.0)_TEPLO.PREDEL.2012.M(v1.1)_test" xfId="121"/>
    <cellStyle name="_Model_RAB_MRSK_svod_46EE.2011(v1.2)" xfId="122"/>
    <cellStyle name="_Model_RAB_MRSK_svod_46EP.2011(v2.0)" xfId="123"/>
    <cellStyle name="_Model_RAB_MRSK_svod_46EP.2012(v0.1)" xfId="124"/>
    <cellStyle name="_Model_RAB_MRSK_svod_46TE.2011(v1.0)" xfId="125"/>
    <cellStyle name="_Model_RAB_MRSK_svod_4DNS.UPDATE.EXAMPLE" xfId="126"/>
    <cellStyle name="_Model_RAB_MRSK_svod_ARMRAZR" xfId="127"/>
    <cellStyle name="_Model_RAB_MRSK_svod_BALANCE.VODOSN.2011YEAR_Глазов" xfId="128"/>
    <cellStyle name="_Model_RAB_MRSK_svod_BALANCE.WARM.2010.FACT(v1.0)" xfId="129"/>
    <cellStyle name="_Model_RAB_MRSK_svod_BALANCE.WARM.2010.PLAN" xfId="130"/>
    <cellStyle name="_Model_RAB_MRSK_svod_BALANCE.WARM.2011YEAR(v0.7)" xfId="131"/>
    <cellStyle name="_Model_RAB_MRSK_svod_BALANCE.WARM.2011YEAR.NEW.UPDATE.SCHEME" xfId="132"/>
    <cellStyle name="_Model_RAB_MRSK_svod_CALC.NORMATIV.KU(v0.2)" xfId="133"/>
    <cellStyle name="_Model_RAB_MRSK_svod_EE.2REK.P2011.4.78(v0.3)" xfId="134"/>
    <cellStyle name="_Model_RAB_MRSK_svod_FORM3.1.2013(v0.2)" xfId="135"/>
    <cellStyle name="_Model_RAB_MRSK_svod_FORM3.2013(v1.0)" xfId="136"/>
    <cellStyle name="_Model_RAB_MRSK_svod_FORM3.REG(v1.0)" xfId="137"/>
    <cellStyle name="_Model_RAB_MRSK_svod_FORM910.2012(v1.1)" xfId="138"/>
    <cellStyle name="_Model_RAB_MRSK_svod_INDEX.STATION.2012(v2.1)" xfId="139"/>
    <cellStyle name="_Model_RAB_MRSK_svod_INDEX.STATION.2013(v1.0)_патч до 1.1" xfId="140"/>
    <cellStyle name="_Model_RAB_MRSK_svod_INVEST.EE.PLAN.4.78(v0.1)" xfId="141"/>
    <cellStyle name="_Model_RAB_MRSK_svod_INVEST.EE.PLAN.4.78(v0.3)" xfId="142"/>
    <cellStyle name="_Model_RAB_MRSK_svod_INVEST.EE.PLAN.4.78(v1.0)" xfId="143"/>
    <cellStyle name="_Model_RAB_MRSK_svod_INVEST.EE.PLAN.4.78(v1.0)_PASSPORT.TEPLO.PROIZV(v2.0)" xfId="144"/>
    <cellStyle name="_Model_RAB_MRSK_svod_INVEST.EE.PLAN.4.78(v1.0)_PASSPORT.TEPLO.PROIZV(v2.0)_INDEX.STATION.2013(v1.0)_патч до 1.1" xfId="145"/>
    <cellStyle name="_Model_RAB_MRSK_svod_INVEST.EE.PLAN.4.78(v1.0)_PASSPORT.TEPLO.PROIZV(v2.0)_TEPLO.PREDEL.2013(v2.0)" xfId="146"/>
    <cellStyle name="_Model_RAB_MRSK_svod_INVEST.PLAN.4.78(v0.1)" xfId="147"/>
    <cellStyle name="_Model_RAB_MRSK_svod_INVEST.WARM.PLAN.4.78(v0.1)" xfId="148"/>
    <cellStyle name="_Model_RAB_MRSK_svod_INVEST_WARM_PLAN" xfId="149"/>
    <cellStyle name="_Model_RAB_MRSK_svod_NADB.JNVLP.APTEKA.2012(v1.0)_21_02_12" xfId="150"/>
    <cellStyle name="_Model_RAB_MRSK_svod_NADB.JNVLS.APTEKA.2011(v1.3.3)" xfId="151"/>
    <cellStyle name="_Model_RAB_MRSK_svod_NADB.JNVLS.APTEKA.2011(v1.3.3)_46TE.2011(v1.0)" xfId="152"/>
    <cellStyle name="_Model_RAB_MRSK_svod_NADB.JNVLS.APTEKA.2011(v1.3.3)_INDEX.STATION.2012(v1.0)_" xfId="153"/>
    <cellStyle name="_Model_RAB_MRSK_svod_NADB.JNVLS.APTEKA.2011(v1.3.3)_INDEX.STATION.2012(v2.0)" xfId="154"/>
    <cellStyle name="_Model_RAB_MRSK_svod_NADB.JNVLS.APTEKA.2011(v1.3.3)_INDEX.STATION.2012(v2.1)" xfId="155"/>
    <cellStyle name="_Model_RAB_MRSK_svod_NADB.JNVLS.APTEKA.2011(v1.3.3)_TEPLO.PREDEL.2012.M(v1.1)_test" xfId="156"/>
    <cellStyle name="_Model_RAB_MRSK_svod_NADB.JNVLS.APTEKA.2011(v1.3.4)" xfId="157"/>
    <cellStyle name="_Model_RAB_MRSK_svod_NADB.JNVLS.APTEKA.2011(v1.3.4)_46TE.2011(v1.0)" xfId="158"/>
    <cellStyle name="_Model_RAB_MRSK_svod_NADB.JNVLS.APTEKA.2011(v1.3.4)_INDEX.STATION.2012(v1.0)_" xfId="159"/>
    <cellStyle name="_Model_RAB_MRSK_svod_NADB.JNVLS.APTEKA.2011(v1.3.4)_INDEX.STATION.2012(v2.0)" xfId="160"/>
    <cellStyle name="_Model_RAB_MRSK_svod_NADB.JNVLS.APTEKA.2011(v1.3.4)_INDEX.STATION.2012(v2.1)" xfId="161"/>
    <cellStyle name="_Model_RAB_MRSK_svod_NADB.JNVLS.APTEKA.2011(v1.3.4)_TEPLO.PREDEL.2012.M(v1.1)_test" xfId="162"/>
    <cellStyle name="_Model_RAB_MRSK_svod_PASSPORT.TEPLO.PROIZV(v2.0)" xfId="163"/>
    <cellStyle name="_Model_RAB_MRSK_svod_PASSPORT.TEPLO.PROIZV(v2.1)" xfId="164"/>
    <cellStyle name="_Model_RAB_MRSK_svod_PASSPORT.TEPLO.SETI(v0.7)" xfId="165"/>
    <cellStyle name="_Model_RAB_MRSK_svod_PASSPORT.TEPLO.SETI(v1.0)" xfId="166"/>
    <cellStyle name="_Model_RAB_MRSK_svod_PREDEL.JKH.UTV.2011(v1.0.1)" xfId="167"/>
    <cellStyle name="_Model_RAB_MRSK_svod_PREDEL.JKH.UTV.2011(v1.0.1)_46TE.2011(v1.0)" xfId="168"/>
    <cellStyle name="_Model_RAB_MRSK_svod_PREDEL.JKH.UTV.2011(v1.0.1)_INDEX.STATION.2012(v1.0)_" xfId="169"/>
    <cellStyle name="_Model_RAB_MRSK_svod_PREDEL.JKH.UTV.2011(v1.0.1)_INDEX.STATION.2012(v2.0)" xfId="170"/>
    <cellStyle name="_Model_RAB_MRSK_svod_PREDEL.JKH.UTV.2011(v1.0.1)_INDEX.STATION.2012(v2.1)" xfId="171"/>
    <cellStyle name="_Model_RAB_MRSK_svod_PREDEL.JKH.UTV.2011(v1.0.1)_TEPLO.PREDEL.2012.M(v1.1)_test" xfId="172"/>
    <cellStyle name="_Model_RAB_MRSK_svod_PREDEL.JKH.UTV.2011(v1.1)" xfId="173"/>
    <cellStyle name="_Model_RAB_MRSK_svod_REP.BLR.2012(v1.0)" xfId="174"/>
    <cellStyle name="_Model_RAB_MRSK_svod_TEHSHEET" xfId="175"/>
    <cellStyle name="_Model_RAB_MRSK_svod_TEPLO.PREDEL.2012.M(v1.1)" xfId="176"/>
    <cellStyle name="_Model_RAB_MRSK_svod_TEPLO.PREDEL.2013(v2.0)" xfId="177"/>
    <cellStyle name="_Model_RAB_MRSK_svod_TEST.TEMPLATE" xfId="178"/>
    <cellStyle name="_Model_RAB_MRSK_svod_UPDATE.46EE.2011.TO.1.1" xfId="179"/>
    <cellStyle name="_Model_RAB_MRSK_svod_UPDATE.46TE.2011.TO.1.1" xfId="180"/>
    <cellStyle name="_Model_RAB_MRSK_svod_UPDATE.46TE.2011.TO.1.2" xfId="181"/>
    <cellStyle name="_Model_RAB_MRSK_svod_UPDATE.BALANCE.WARM.2011YEAR.TO.1.1" xfId="182"/>
    <cellStyle name="_Model_RAB_MRSK_svod_UPDATE.BALANCE.WARM.2011YEAR.TO.1.1 2" xfId="183"/>
    <cellStyle name="_Model_RAB_MRSK_svod_UPDATE.BALANCE.WARM.2011YEAR.TO.1.1_46TE.2011(v1.0)" xfId="184"/>
    <cellStyle name="_Model_RAB_MRSK_svod_UPDATE.BALANCE.WARM.2011YEAR.TO.1.1_INDEX.STATION.2012(v1.0)_" xfId="185"/>
    <cellStyle name="_Model_RAB_MRSK_svod_UPDATE.BALANCE.WARM.2011YEAR.TO.1.1_INDEX.STATION.2012(v2.0)" xfId="186"/>
    <cellStyle name="_Model_RAB_MRSK_svod_UPDATE.BALANCE.WARM.2011YEAR.TO.1.1_INDEX.STATION.2012(v2.1)" xfId="187"/>
    <cellStyle name="_Model_RAB_MRSK_svod_UPDATE.BALANCE.WARM.2011YEAR.TO.1.1_OREP.KU.2011.MONTHLY.02(v1.1)" xfId="188"/>
    <cellStyle name="_Model_RAB_MRSK_svod_UPDATE.BALANCE.WARM.2011YEAR.TO.1.1_TEPLO.PREDEL.2012.M(v1.1)_test" xfId="189"/>
    <cellStyle name="_Model_RAB_MRSK_svod_UPDATE.BALANCE.WARM.2011YEAR.TO.1.1_UPDATE.BALANCE.VODOSN.2011YEAR.TO.1.1" xfId="190"/>
    <cellStyle name="_Model_RAB_MRSK_svod_UPDATE.BALANCE.WARM.2011YEAR.TO.1.2" xfId="191"/>
    <cellStyle name="_Model_RAB_MRSK_svod_UPDATE.BALANCE.WARM.2011YEAR.TO.1.4.64" xfId="192"/>
    <cellStyle name="_Model_RAB_MRSK_svod_UPDATE.BALANCE.WARM.2011YEAR.TO.1.5.64" xfId="193"/>
    <cellStyle name="_Model_RAB_MRSK_svod_UPDATE.MONITORING.OS.EE.2.02.TO.1.3.64" xfId="194"/>
    <cellStyle name="_Model_RAB_MRSK_svod_UPDATE.NADB.JNVLS.APTEKA.2011.TO.1.3.4" xfId="195"/>
    <cellStyle name="_Plug" xfId="196"/>
    <cellStyle name="_Plug_4DNS.UPDATE.EXAMPLE" xfId="197"/>
    <cellStyle name="_Plug_4DNS.UPDATE.EXAMPLE_INDEX.STATION.2013(v1.0)_патч до 1.1" xfId="198"/>
    <cellStyle name="_Бюджет2006_ПОКАЗАТЕЛИ СВОДНЫЕ" xfId="199"/>
    <cellStyle name="_ВО ОП ТЭС-ОТ- 2007" xfId="200"/>
    <cellStyle name="_ВО ОП ТЭС-ОТ- 2007_Новая инструкция1_фст" xfId="201"/>
    <cellStyle name="_ВФ ОАО ТЭС-ОТ- 2009" xfId="202"/>
    <cellStyle name="_ВФ ОАО ТЭС-ОТ- 2009_Новая инструкция1_фст" xfId="203"/>
    <cellStyle name="_выручка по присоединениям2" xfId="204"/>
    <cellStyle name="_выручка по присоединениям2_Новая инструкция1_фст" xfId="205"/>
    <cellStyle name="_Договор аренды ЯЭ с разбивкой" xfId="206"/>
    <cellStyle name="_Договор аренды ЯЭ с разбивкой_Новая инструкция1_фст" xfId="207"/>
    <cellStyle name="_Защита ФЗП" xfId="208"/>
    <cellStyle name="_Исходные данные для модели" xfId="209"/>
    <cellStyle name="_Исходные данные для модели_Новая инструкция1_фст" xfId="210"/>
    <cellStyle name="_Консолидация-2008-проект-new" xfId="211"/>
    <cellStyle name="_МОДЕЛЬ_1 (2)" xfId="212"/>
    <cellStyle name="_МОДЕЛЬ_1 (2) 2" xfId="213"/>
    <cellStyle name="_МОДЕЛЬ_1 (2) 2_OREP.KU.2011.MONTHLY.02(v0.1)" xfId="214"/>
    <cellStyle name="_МОДЕЛЬ_1 (2) 2_OREP.KU.2011.MONTHLY.02(v0.4)" xfId="215"/>
    <cellStyle name="_МОДЕЛЬ_1 (2) 2_OREP.KU.2011.MONTHLY.11(v1.4)" xfId="216"/>
    <cellStyle name="_МОДЕЛЬ_1 (2) 2_OREP.KU.2011.MONTHLY.11(v1.4)_UPDATE.BALANCE.WARM.2012YEAR.TO.1.1" xfId="217"/>
    <cellStyle name="_МОДЕЛЬ_1 (2) 2_OREP.KU.2011.MONTHLY.11(v1.4)_UPDATE.CALC.WARM.2012YEAR.TO.1.1" xfId="218"/>
    <cellStyle name="_МОДЕЛЬ_1 (2) 2_UPDATE.BALANCE.WARM.2012YEAR.TO.1.1" xfId="219"/>
    <cellStyle name="_МОДЕЛЬ_1 (2) 2_UPDATE.CALC.WARM.2012YEAR.TO.1.1" xfId="220"/>
    <cellStyle name="_МОДЕЛЬ_1 (2) 2_UPDATE.MONITORING.OS.EE.2.02.TO.1.3.64" xfId="221"/>
    <cellStyle name="_МОДЕЛЬ_1 (2) 2_UPDATE.OREP.KU.2011.MONTHLY.02.TO.1.2" xfId="222"/>
    <cellStyle name="_МОДЕЛЬ_1 (2)_46EE.2011(v1.0)" xfId="223"/>
    <cellStyle name="_МОДЕЛЬ_1 (2)_46EE.2011(v1.0)_46TE.2011(v1.0)" xfId="224"/>
    <cellStyle name="_МОДЕЛЬ_1 (2)_46EE.2011(v1.0)_INDEX.STATION.2012(v1.0)_" xfId="225"/>
    <cellStyle name="_МОДЕЛЬ_1 (2)_46EE.2011(v1.0)_INDEX.STATION.2012(v2.0)" xfId="226"/>
    <cellStyle name="_МОДЕЛЬ_1 (2)_46EE.2011(v1.0)_INDEX.STATION.2012(v2.1)" xfId="227"/>
    <cellStyle name="_МОДЕЛЬ_1 (2)_46EE.2011(v1.0)_TEPLO.PREDEL.2012.M(v1.1)_test" xfId="228"/>
    <cellStyle name="_МОДЕЛЬ_1 (2)_46EE.2011(v1.2)" xfId="229"/>
    <cellStyle name="_МОДЕЛЬ_1 (2)_46EP.2011(v2.0)" xfId="230"/>
    <cellStyle name="_МОДЕЛЬ_1 (2)_46EP.2012(v0.1)" xfId="231"/>
    <cellStyle name="_МОДЕЛЬ_1 (2)_46TE.2011(v1.0)" xfId="232"/>
    <cellStyle name="_МОДЕЛЬ_1 (2)_4DNS.UPDATE.EXAMPLE" xfId="233"/>
    <cellStyle name="_МОДЕЛЬ_1 (2)_ARMRAZR" xfId="234"/>
    <cellStyle name="_МОДЕЛЬ_1 (2)_BALANCE.VODOSN.2011YEAR_Глазов" xfId="235"/>
    <cellStyle name="_МОДЕЛЬ_1 (2)_BALANCE.WARM.2010.FACT(v1.0)" xfId="236"/>
    <cellStyle name="_МОДЕЛЬ_1 (2)_BALANCE.WARM.2010.PLAN" xfId="237"/>
    <cellStyle name="_МОДЕЛЬ_1 (2)_BALANCE.WARM.2011YEAR(v0.7)" xfId="238"/>
    <cellStyle name="_МОДЕЛЬ_1 (2)_BALANCE.WARM.2011YEAR.NEW.UPDATE.SCHEME" xfId="239"/>
    <cellStyle name="_МОДЕЛЬ_1 (2)_CALC.NORMATIV.KU(v0.2)" xfId="240"/>
    <cellStyle name="_МОДЕЛЬ_1 (2)_EE.2REK.P2011.4.78(v0.3)" xfId="241"/>
    <cellStyle name="_МОДЕЛЬ_1 (2)_FORM3.1.2013(v0.2)" xfId="242"/>
    <cellStyle name="_МОДЕЛЬ_1 (2)_FORM3.2013(v1.0)" xfId="243"/>
    <cellStyle name="_МОДЕЛЬ_1 (2)_FORM3.REG(v1.0)" xfId="244"/>
    <cellStyle name="_МОДЕЛЬ_1 (2)_FORM910.2012(v1.1)" xfId="245"/>
    <cellStyle name="_МОДЕЛЬ_1 (2)_INDEX.STATION.2012(v2.1)" xfId="246"/>
    <cellStyle name="_МОДЕЛЬ_1 (2)_INDEX.STATION.2013(v1.0)_патч до 1.1" xfId="247"/>
    <cellStyle name="_МОДЕЛЬ_1 (2)_INVEST.EE.PLAN.4.78(v0.1)" xfId="248"/>
    <cellStyle name="_МОДЕЛЬ_1 (2)_INVEST.EE.PLAN.4.78(v0.3)" xfId="249"/>
    <cellStyle name="_МОДЕЛЬ_1 (2)_INVEST.EE.PLAN.4.78(v1.0)" xfId="250"/>
    <cellStyle name="_МОДЕЛЬ_1 (2)_INVEST.EE.PLAN.4.78(v1.0)_PASSPORT.TEPLO.PROIZV(v2.0)" xfId="251"/>
    <cellStyle name="_МОДЕЛЬ_1 (2)_INVEST.EE.PLAN.4.78(v1.0)_PASSPORT.TEPLO.PROIZV(v2.0)_INDEX.STATION.2013(v1.0)_патч до 1.1" xfId="252"/>
    <cellStyle name="_МОДЕЛЬ_1 (2)_INVEST.EE.PLAN.4.78(v1.0)_PASSPORT.TEPLO.PROIZV(v2.0)_TEPLO.PREDEL.2013(v2.0)" xfId="253"/>
    <cellStyle name="_МОДЕЛЬ_1 (2)_INVEST.PLAN.4.78(v0.1)" xfId="254"/>
    <cellStyle name="_МОДЕЛЬ_1 (2)_INVEST.WARM.PLAN.4.78(v0.1)" xfId="255"/>
    <cellStyle name="_МОДЕЛЬ_1 (2)_INVEST_WARM_PLAN" xfId="256"/>
    <cellStyle name="_МОДЕЛЬ_1 (2)_NADB.JNVLP.APTEKA.2012(v1.0)_21_02_12" xfId="257"/>
    <cellStyle name="_МОДЕЛЬ_1 (2)_NADB.JNVLS.APTEKA.2011(v1.3.3)" xfId="258"/>
    <cellStyle name="_МОДЕЛЬ_1 (2)_NADB.JNVLS.APTEKA.2011(v1.3.3)_46TE.2011(v1.0)" xfId="259"/>
    <cellStyle name="_МОДЕЛЬ_1 (2)_NADB.JNVLS.APTEKA.2011(v1.3.3)_INDEX.STATION.2012(v1.0)_" xfId="260"/>
    <cellStyle name="_МОДЕЛЬ_1 (2)_NADB.JNVLS.APTEKA.2011(v1.3.3)_INDEX.STATION.2012(v2.0)" xfId="261"/>
    <cellStyle name="_МОДЕЛЬ_1 (2)_NADB.JNVLS.APTEKA.2011(v1.3.3)_INDEX.STATION.2012(v2.1)" xfId="262"/>
    <cellStyle name="_МОДЕЛЬ_1 (2)_NADB.JNVLS.APTEKA.2011(v1.3.3)_TEPLO.PREDEL.2012.M(v1.1)_test" xfId="263"/>
    <cellStyle name="_МОДЕЛЬ_1 (2)_NADB.JNVLS.APTEKA.2011(v1.3.4)" xfId="264"/>
    <cellStyle name="_МОДЕЛЬ_1 (2)_NADB.JNVLS.APTEKA.2011(v1.3.4)_46TE.2011(v1.0)" xfId="265"/>
    <cellStyle name="_МОДЕЛЬ_1 (2)_NADB.JNVLS.APTEKA.2011(v1.3.4)_INDEX.STATION.2012(v1.0)_" xfId="266"/>
    <cellStyle name="_МОДЕЛЬ_1 (2)_NADB.JNVLS.APTEKA.2011(v1.3.4)_INDEX.STATION.2012(v2.0)" xfId="267"/>
    <cellStyle name="_МОДЕЛЬ_1 (2)_NADB.JNVLS.APTEKA.2011(v1.3.4)_INDEX.STATION.2012(v2.1)" xfId="268"/>
    <cellStyle name="_МОДЕЛЬ_1 (2)_NADB.JNVLS.APTEKA.2011(v1.3.4)_TEPLO.PREDEL.2012.M(v1.1)_test" xfId="269"/>
    <cellStyle name="_МОДЕЛЬ_1 (2)_PASSPORT.TEPLO.PROIZV(v2.0)" xfId="270"/>
    <cellStyle name="_МОДЕЛЬ_1 (2)_PASSPORT.TEPLO.PROIZV(v2.1)" xfId="271"/>
    <cellStyle name="_МОДЕЛЬ_1 (2)_PASSPORT.TEPLO.SETI(v0.7)" xfId="272"/>
    <cellStyle name="_МОДЕЛЬ_1 (2)_PASSPORT.TEPLO.SETI(v1.0)" xfId="273"/>
    <cellStyle name="_МОДЕЛЬ_1 (2)_PREDEL.JKH.UTV.2011(v1.0.1)" xfId="274"/>
    <cellStyle name="_МОДЕЛЬ_1 (2)_PREDEL.JKH.UTV.2011(v1.0.1)_46TE.2011(v1.0)" xfId="275"/>
    <cellStyle name="_МОДЕЛЬ_1 (2)_PREDEL.JKH.UTV.2011(v1.0.1)_INDEX.STATION.2012(v1.0)_" xfId="276"/>
    <cellStyle name="_МОДЕЛЬ_1 (2)_PREDEL.JKH.UTV.2011(v1.0.1)_INDEX.STATION.2012(v2.0)" xfId="277"/>
    <cellStyle name="_МОДЕЛЬ_1 (2)_PREDEL.JKH.UTV.2011(v1.0.1)_INDEX.STATION.2012(v2.1)" xfId="278"/>
    <cellStyle name="_МОДЕЛЬ_1 (2)_PREDEL.JKH.UTV.2011(v1.0.1)_TEPLO.PREDEL.2012.M(v1.1)_test" xfId="279"/>
    <cellStyle name="_МОДЕЛЬ_1 (2)_PREDEL.JKH.UTV.2011(v1.1)" xfId="280"/>
    <cellStyle name="_МОДЕЛЬ_1 (2)_REP.BLR.2012(v1.0)" xfId="281"/>
    <cellStyle name="_МОДЕЛЬ_1 (2)_TEHSHEET" xfId="282"/>
    <cellStyle name="_МОДЕЛЬ_1 (2)_TEPLO.PREDEL.2012.M(v1.1)" xfId="283"/>
    <cellStyle name="_МОДЕЛЬ_1 (2)_TEPLO.PREDEL.2013(v2.0)" xfId="284"/>
    <cellStyle name="_МОДЕЛЬ_1 (2)_TEST.TEMPLATE" xfId="285"/>
    <cellStyle name="_МОДЕЛЬ_1 (2)_UPDATE.46EE.2011.TO.1.1" xfId="286"/>
    <cellStyle name="_МОДЕЛЬ_1 (2)_UPDATE.46TE.2011.TO.1.1" xfId="287"/>
    <cellStyle name="_МОДЕЛЬ_1 (2)_UPDATE.46TE.2011.TO.1.2" xfId="288"/>
    <cellStyle name="_МОДЕЛЬ_1 (2)_UPDATE.BALANCE.WARM.2011YEAR.TO.1.1" xfId="289"/>
    <cellStyle name="_МОДЕЛЬ_1 (2)_UPDATE.BALANCE.WARM.2011YEAR.TO.1.1 2" xfId="290"/>
    <cellStyle name="_МОДЕЛЬ_1 (2)_UPDATE.BALANCE.WARM.2011YEAR.TO.1.1_46TE.2011(v1.0)" xfId="291"/>
    <cellStyle name="_МОДЕЛЬ_1 (2)_UPDATE.BALANCE.WARM.2011YEAR.TO.1.1_INDEX.STATION.2012(v1.0)_" xfId="292"/>
    <cellStyle name="_МОДЕЛЬ_1 (2)_UPDATE.BALANCE.WARM.2011YEAR.TO.1.1_INDEX.STATION.2012(v2.0)" xfId="293"/>
    <cellStyle name="_МОДЕЛЬ_1 (2)_UPDATE.BALANCE.WARM.2011YEAR.TO.1.1_INDEX.STATION.2012(v2.1)" xfId="294"/>
    <cellStyle name="_МОДЕЛЬ_1 (2)_UPDATE.BALANCE.WARM.2011YEAR.TO.1.1_OREP.KU.2011.MONTHLY.02(v1.1)" xfId="295"/>
    <cellStyle name="_МОДЕЛЬ_1 (2)_UPDATE.BALANCE.WARM.2011YEAR.TO.1.1_TEPLO.PREDEL.2012.M(v1.1)_test" xfId="296"/>
    <cellStyle name="_МОДЕЛЬ_1 (2)_UPDATE.BALANCE.WARM.2011YEAR.TO.1.1_UPDATE.BALANCE.VODOSN.2011YEAR.TO.1.1" xfId="297"/>
    <cellStyle name="_МОДЕЛЬ_1 (2)_UPDATE.BALANCE.WARM.2011YEAR.TO.1.2" xfId="298"/>
    <cellStyle name="_МОДЕЛЬ_1 (2)_UPDATE.BALANCE.WARM.2011YEAR.TO.1.4.64" xfId="299"/>
    <cellStyle name="_МОДЕЛЬ_1 (2)_UPDATE.BALANCE.WARM.2011YEAR.TO.1.5.64" xfId="300"/>
    <cellStyle name="_МОДЕЛЬ_1 (2)_UPDATE.MONITORING.OS.EE.2.02.TO.1.3.64" xfId="301"/>
    <cellStyle name="_МОДЕЛЬ_1 (2)_UPDATE.NADB.JNVLS.APTEKA.2011.TO.1.3.4" xfId="302"/>
    <cellStyle name="_НВВ 2009 постатейно свод по филиалам_09_02_09" xfId="303"/>
    <cellStyle name="_НВВ 2009 постатейно свод по филиалам_09_02_09_Новая инструкция1_фст" xfId="304"/>
    <cellStyle name="_НВВ 2009 постатейно свод по филиалам_для Валентина" xfId="305"/>
    <cellStyle name="_НВВ 2009 постатейно свод по филиалам_для Валентина_Новая инструкция1_фст" xfId="306"/>
    <cellStyle name="_Омск" xfId="307"/>
    <cellStyle name="_Омск_Новая инструкция1_фст" xfId="308"/>
    <cellStyle name="_ОТ ИД 2009" xfId="309"/>
    <cellStyle name="_ОТ ИД 2009_Новая инструкция1_фст" xfId="310"/>
    <cellStyle name="_пр 5 тариф RAB" xfId="311"/>
    <cellStyle name="_пр 5 тариф RAB 2" xfId="312"/>
    <cellStyle name="_пр 5 тариф RAB 2_OREP.KU.2011.MONTHLY.02(v0.1)" xfId="313"/>
    <cellStyle name="_пр 5 тариф RAB 2_OREP.KU.2011.MONTHLY.02(v0.4)" xfId="314"/>
    <cellStyle name="_пр 5 тариф RAB 2_OREP.KU.2011.MONTHLY.11(v1.4)" xfId="315"/>
    <cellStyle name="_пр 5 тариф RAB 2_OREP.KU.2011.MONTHLY.11(v1.4)_UPDATE.BALANCE.WARM.2012YEAR.TO.1.1" xfId="316"/>
    <cellStyle name="_пр 5 тариф RAB 2_OREP.KU.2011.MONTHLY.11(v1.4)_UPDATE.CALC.WARM.2012YEAR.TO.1.1" xfId="317"/>
    <cellStyle name="_пр 5 тариф RAB 2_UPDATE.BALANCE.WARM.2012YEAR.TO.1.1" xfId="318"/>
    <cellStyle name="_пр 5 тариф RAB 2_UPDATE.CALC.WARM.2012YEAR.TO.1.1" xfId="319"/>
    <cellStyle name="_пр 5 тариф RAB 2_UPDATE.MONITORING.OS.EE.2.02.TO.1.3.64" xfId="320"/>
    <cellStyle name="_пр 5 тариф RAB 2_UPDATE.OREP.KU.2011.MONTHLY.02.TO.1.2" xfId="321"/>
    <cellStyle name="_пр 5 тариф RAB_46EE.2011(v1.0)" xfId="322"/>
    <cellStyle name="_пр 5 тариф RAB_46EE.2011(v1.0)_46TE.2011(v1.0)" xfId="323"/>
    <cellStyle name="_пр 5 тариф RAB_46EE.2011(v1.0)_INDEX.STATION.2012(v1.0)_" xfId="324"/>
    <cellStyle name="_пр 5 тариф RAB_46EE.2011(v1.0)_INDEX.STATION.2012(v2.0)" xfId="325"/>
    <cellStyle name="_пр 5 тариф RAB_46EE.2011(v1.0)_INDEX.STATION.2012(v2.1)" xfId="326"/>
    <cellStyle name="_пр 5 тариф RAB_46EE.2011(v1.0)_TEPLO.PREDEL.2012.M(v1.1)_test" xfId="327"/>
    <cellStyle name="_пр 5 тариф RAB_46EE.2011(v1.2)" xfId="328"/>
    <cellStyle name="_пр 5 тариф RAB_46EP.2011(v2.0)" xfId="329"/>
    <cellStyle name="_пр 5 тариф RAB_46EP.2012(v0.1)" xfId="330"/>
    <cellStyle name="_пр 5 тариф RAB_46TE.2011(v1.0)" xfId="331"/>
    <cellStyle name="_пр 5 тариф RAB_4DNS.UPDATE.EXAMPLE" xfId="332"/>
    <cellStyle name="_пр 5 тариф RAB_ARMRAZR" xfId="333"/>
    <cellStyle name="_пр 5 тариф RAB_BALANCE.VODOSN.2011YEAR_Глазов" xfId="334"/>
    <cellStyle name="_пр 5 тариф RAB_BALANCE.WARM.2010.FACT(v1.0)" xfId="335"/>
    <cellStyle name="_пр 5 тариф RAB_BALANCE.WARM.2010.PLAN" xfId="336"/>
    <cellStyle name="_пр 5 тариф RAB_BALANCE.WARM.2011YEAR(v0.7)" xfId="337"/>
    <cellStyle name="_пр 5 тариф RAB_BALANCE.WARM.2011YEAR.NEW.UPDATE.SCHEME" xfId="338"/>
    <cellStyle name="_пр 5 тариф RAB_CALC.NORMATIV.KU(v0.2)" xfId="339"/>
    <cellStyle name="_пр 5 тариф RAB_EE.2REK.P2011.4.78(v0.3)" xfId="340"/>
    <cellStyle name="_пр 5 тариф RAB_FORM3.1.2013(v0.2)" xfId="341"/>
    <cellStyle name="_пр 5 тариф RAB_FORM3.2013(v1.0)" xfId="342"/>
    <cellStyle name="_пр 5 тариф RAB_FORM3.REG(v1.0)" xfId="343"/>
    <cellStyle name="_пр 5 тариф RAB_FORM910.2012(v1.1)" xfId="344"/>
    <cellStyle name="_пр 5 тариф RAB_INDEX.STATION.2012(v2.1)" xfId="345"/>
    <cellStyle name="_пр 5 тариф RAB_INDEX.STATION.2013(v1.0)_патч до 1.1" xfId="346"/>
    <cellStyle name="_пр 5 тариф RAB_INVEST.EE.PLAN.4.78(v0.1)" xfId="347"/>
    <cellStyle name="_пр 5 тариф RAB_INVEST.EE.PLAN.4.78(v0.3)" xfId="348"/>
    <cellStyle name="_пр 5 тариф RAB_INVEST.EE.PLAN.4.78(v1.0)" xfId="349"/>
    <cellStyle name="_пр 5 тариф RAB_INVEST.EE.PLAN.4.78(v1.0)_PASSPORT.TEPLO.PROIZV(v2.0)" xfId="350"/>
    <cellStyle name="_пр 5 тариф RAB_INVEST.EE.PLAN.4.78(v1.0)_PASSPORT.TEPLO.PROIZV(v2.0)_INDEX.STATION.2013(v1.0)_патч до 1.1" xfId="351"/>
    <cellStyle name="_пр 5 тариф RAB_INVEST.EE.PLAN.4.78(v1.0)_PASSPORT.TEPLO.PROIZV(v2.0)_TEPLO.PREDEL.2013(v2.0)" xfId="352"/>
    <cellStyle name="_пр 5 тариф RAB_INVEST.PLAN.4.78(v0.1)" xfId="353"/>
    <cellStyle name="_пр 5 тариф RAB_INVEST.WARM.PLAN.4.78(v0.1)" xfId="354"/>
    <cellStyle name="_пр 5 тариф RAB_INVEST_WARM_PLAN" xfId="355"/>
    <cellStyle name="_пр 5 тариф RAB_NADB.JNVLP.APTEKA.2012(v1.0)_21_02_12" xfId="356"/>
    <cellStyle name="_пр 5 тариф RAB_NADB.JNVLS.APTEKA.2011(v1.3.3)" xfId="357"/>
    <cellStyle name="_пр 5 тариф RAB_NADB.JNVLS.APTEKA.2011(v1.3.3)_46TE.2011(v1.0)" xfId="358"/>
    <cellStyle name="_пр 5 тариф RAB_NADB.JNVLS.APTEKA.2011(v1.3.3)_INDEX.STATION.2012(v1.0)_" xfId="359"/>
    <cellStyle name="_пр 5 тариф RAB_NADB.JNVLS.APTEKA.2011(v1.3.3)_INDEX.STATION.2012(v2.0)" xfId="360"/>
    <cellStyle name="_пр 5 тариф RAB_NADB.JNVLS.APTEKA.2011(v1.3.3)_INDEX.STATION.2012(v2.1)" xfId="361"/>
    <cellStyle name="_пр 5 тариф RAB_NADB.JNVLS.APTEKA.2011(v1.3.3)_TEPLO.PREDEL.2012.M(v1.1)_test" xfId="362"/>
    <cellStyle name="_пр 5 тариф RAB_NADB.JNVLS.APTEKA.2011(v1.3.4)" xfId="363"/>
    <cellStyle name="_пр 5 тариф RAB_NADB.JNVLS.APTEKA.2011(v1.3.4)_46TE.2011(v1.0)" xfId="364"/>
    <cellStyle name="_пр 5 тариф RAB_NADB.JNVLS.APTEKA.2011(v1.3.4)_INDEX.STATION.2012(v1.0)_" xfId="365"/>
    <cellStyle name="_пр 5 тариф RAB_NADB.JNVLS.APTEKA.2011(v1.3.4)_INDEX.STATION.2012(v2.0)" xfId="366"/>
    <cellStyle name="_пр 5 тариф RAB_NADB.JNVLS.APTEKA.2011(v1.3.4)_INDEX.STATION.2012(v2.1)" xfId="367"/>
    <cellStyle name="_пр 5 тариф RAB_NADB.JNVLS.APTEKA.2011(v1.3.4)_TEPLO.PREDEL.2012.M(v1.1)_test" xfId="368"/>
    <cellStyle name="_пр 5 тариф RAB_PASSPORT.TEPLO.PROIZV(v2.0)" xfId="369"/>
    <cellStyle name="_пр 5 тариф RAB_PASSPORT.TEPLO.PROIZV(v2.1)" xfId="370"/>
    <cellStyle name="_пр 5 тариф RAB_PASSPORT.TEPLO.SETI(v0.7)" xfId="371"/>
    <cellStyle name="_пр 5 тариф RAB_PASSPORT.TEPLO.SETI(v1.0)" xfId="372"/>
    <cellStyle name="_пр 5 тариф RAB_PREDEL.JKH.UTV.2011(v1.0.1)" xfId="373"/>
    <cellStyle name="_пр 5 тариф RAB_PREDEL.JKH.UTV.2011(v1.0.1)_46TE.2011(v1.0)" xfId="374"/>
    <cellStyle name="_пр 5 тариф RAB_PREDEL.JKH.UTV.2011(v1.0.1)_INDEX.STATION.2012(v1.0)_" xfId="375"/>
    <cellStyle name="_пр 5 тариф RAB_PREDEL.JKH.UTV.2011(v1.0.1)_INDEX.STATION.2012(v2.0)" xfId="376"/>
    <cellStyle name="_пр 5 тариф RAB_PREDEL.JKH.UTV.2011(v1.0.1)_INDEX.STATION.2012(v2.1)" xfId="377"/>
    <cellStyle name="_пр 5 тариф RAB_PREDEL.JKH.UTV.2011(v1.0.1)_TEPLO.PREDEL.2012.M(v1.1)_test" xfId="378"/>
    <cellStyle name="_пр 5 тариф RAB_PREDEL.JKH.UTV.2011(v1.1)" xfId="379"/>
    <cellStyle name="_пр 5 тариф RAB_REP.BLR.2012(v1.0)" xfId="380"/>
    <cellStyle name="_пр 5 тариф RAB_TEHSHEET" xfId="381"/>
    <cellStyle name="_пр 5 тариф RAB_TEPLO.PREDEL.2012.M(v1.1)" xfId="382"/>
    <cellStyle name="_пр 5 тариф RAB_TEPLO.PREDEL.2013(v2.0)" xfId="383"/>
    <cellStyle name="_пр 5 тариф RAB_TEST.TEMPLATE" xfId="384"/>
    <cellStyle name="_пр 5 тариф RAB_UPDATE.46EE.2011.TO.1.1" xfId="385"/>
    <cellStyle name="_пр 5 тариф RAB_UPDATE.46TE.2011.TO.1.1" xfId="386"/>
    <cellStyle name="_пр 5 тариф RAB_UPDATE.46TE.2011.TO.1.2" xfId="387"/>
    <cellStyle name="_пр 5 тариф RAB_UPDATE.BALANCE.WARM.2011YEAR.TO.1.1" xfId="388"/>
    <cellStyle name="_пр 5 тариф RAB_UPDATE.BALANCE.WARM.2011YEAR.TO.1.1 2" xfId="389"/>
    <cellStyle name="_пр 5 тариф RAB_UPDATE.BALANCE.WARM.2011YEAR.TO.1.1_46TE.2011(v1.0)" xfId="390"/>
    <cellStyle name="_пр 5 тариф RAB_UPDATE.BALANCE.WARM.2011YEAR.TO.1.1_INDEX.STATION.2012(v1.0)_" xfId="391"/>
    <cellStyle name="_пр 5 тариф RAB_UPDATE.BALANCE.WARM.2011YEAR.TO.1.1_INDEX.STATION.2012(v2.0)" xfId="392"/>
    <cellStyle name="_пр 5 тариф RAB_UPDATE.BALANCE.WARM.2011YEAR.TO.1.1_INDEX.STATION.2012(v2.1)" xfId="393"/>
    <cellStyle name="_пр 5 тариф RAB_UPDATE.BALANCE.WARM.2011YEAR.TO.1.1_OREP.KU.2011.MONTHLY.02(v1.1)" xfId="394"/>
    <cellStyle name="_пр 5 тариф RAB_UPDATE.BALANCE.WARM.2011YEAR.TO.1.1_TEPLO.PREDEL.2012.M(v1.1)_test" xfId="395"/>
    <cellStyle name="_пр 5 тариф RAB_UPDATE.BALANCE.WARM.2011YEAR.TO.1.1_UPDATE.BALANCE.VODOSN.2011YEAR.TO.1.1" xfId="396"/>
    <cellStyle name="_пр 5 тариф RAB_UPDATE.BALANCE.WARM.2011YEAR.TO.1.2" xfId="397"/>
    <cellStyle name="_пр 5 тариф RAB_UPDATE.BALANCE.WARM.2011YEAR.TO.1.4.64" xfId="398"/>
    <cellStyle name="_пр 5 тариф RAB_UPDATE.BALANCE.WARM.2011YEAR.TO.1.5.64" xfId="399"/>
    <cellStyle name="_пр 5 тариф RAB_UPDATE.MONITORING.OS.EE.2.02.TO.1.3.64" xfId="400"/>
    <cellStyle name="_пр 5 тариф RAB_UPDATE.NADB.JNVLS.APTEKA.2011.TO.1.3.4" xfId="401"/>
    <cellStyle name="_Предожение _ДБП_2009 г ( согласованные БП)  (2)" xfId="402"/>
    <cellStyle name="_Предожение _ДБП_2009 г ( согласованные БП)  (2)_Новая инструкция1_фст" xfId="403"/>
    <cellStyle name="_Приложение 2 0806 факт" xfId="404"/>
    <cellStyle name="_Приложение МТС-3-КС" xfId="405"/>
    <cellStyle name="_Приложение МТС-3-КС_Новая инструкция1_фст" xfId="406"/>
    <cellStyle name="_Приложение-МТС--2-1" xfId="407"/>
    <cellStyle name="_Приложение-МТС--2-1_Новая инструкция1_фст" xfId="408"/>
    <cellStyle name="_Расчет RAB_22072008" xfId="409"/>
    <cellStyle name="_Расчет RAB_22072008 2" xfId="410"/>
    <cellStyle name="_Расчет RAB_22072008 2_OREP.KU.2011.MONTHLY.02(v0.1)" xfId="411"/>
    <cellStyle name="_Расчет RAB_22072008 2_OREP.KU.2011.MONTHLY.02(v0.4)" xfId="412"/>
    <cellStyle name="_Расчет RAB_22072008 2_OREP.KU.2011.MONTHLY.11(v1.4)" xfId="413"/>
    <cellStyle name="_Расчет RAB_22072008 2_OREP.KU.2011.MONTHLY.11(v1.4)_UPDATE.BALANCE.WARM.2012YEAR.TO.1.1" xfId="414"/>
    <cellStyle name="_Расчет RAB_22072008 2_OREP.KU.2011.MONTHLY.11(v1.4)_UPDATE.CALC.WARM.2012YEAR.TO.1.1" xfId="415"/>
    <cellStyle name="_Расчет RAB_22072008 2_UPDATE.BALANCE.WARM.2012YEAR.TO.1.1" xfId="416"/>
    <cellStyle name="_Расчет RAB_22072008 2_UPDATE.CALC.WARM.2012YEAR.TO.1.1" xfId="417"/>
    <cellStyle name="_Расчет RAB_22072008 2_UPDATE.MONITORING.OS.EE.2.02.TO.1.3.64" xfId="418"/>
    <cellStyle name="_Расчет RAB_22072008 2_UPDATE.OREP.KU.2011.MONTHLY.02.TO.1.2" xfId="419"/>
    <cellStyle name="_Расчет RAB_22072008_46EE.2011(v1.0)" xfId="420"/>
    <cellStyle name="_Расчет RAB_22072008_46EE.2011(v1.0)_46TE.2011(v1.0)" xfId="421"/>
    <cellStyle name="_Расчет RAB_22072008_46EE.2011(v1.0)_INDEX.STATION.2012(v1.0)_" xfId="422"/>
    <cellStyle name="_Расчет RAB_22072008_46EE.2011(v1.0)_INDEX.STATION.2012(v2.0)" xfId="423"/>
    <cellStyle name="_Расчет RAB_22072008_46EE.2011(v1.0)_INDEX.STATION.2012(v2.1)" xfId="424"/>
    <cellStyle name="_Расчет RAB_22072008_46EE.2011(v1.0)_TEPLO.PREDEL.2012.M(v1.1)_test" xfId="425"/>
    <cellStyle name="_Расчет RAB_22072008_46EE.2011(v1.2)" xfId="426"/>
    <cellStyle name="_Расчет RAB_22072008_46EP.2011(v2.0)" xfId="427"/>
    <cellStyle name="_Расчет RAB_22072008_46EP.2012(v0.1)" xfId="428"/>
    <cellStyle name="_Расчет RAB_22072008_46TE.2011(v1.0)" xfId="429"/>
    <cellStyle name="_Расчет RAB_22072008_4DNS.UPDATE.EXAMPLE" xfId="430"/>
    <cellStyle name="_Расчет RAB_22072008_ARMRAZR" xfId="431"/>
    <cellStyle name="_Расчет RAB_22072008_BALANCE.VODOSN.2011YEAR_Глазов" xfId="432"/>
    <cellStyle name="_Расчет RAB_22072008_BALANCE.WARM.2010.FACT(v1.0)" xfId="433"/>
    <cellStyle name="_Расчет RAB_22072008_BALANCE.WARM.2010.PLAN" xfId="434"/>
    <cellStyle name="_Расчет RAB_22072008_BALANCE.WARM.2011YEAR(v0.7)" xfId="435"/>
    <cellStyle name="_Расчет RAB_22072008_BALANCE.WARM.2011YEAR.NEW.UPDATE.SCHEME" xfId="436"/>
    <cellStyle name="_Расчет RAB_22072008_CALC.NORMATIV.KU(v0.2)" xfId="437"/>
    <cellStyle name="_Расчет RAB_22072008_EE.2REK.P2011.4.78(v0.3)" xfId="438"/>
    <cellStyle name="_Расчет RAB_22072008_FORM3.1.2013(v0.2)" xfId="439"/>
    <cellStyle name="_Расчет RAB_22072008_FORM3.2013(v1.0)" xfId="440"/>
    <cellStyle name="_Расчет RAB_22072008_FORM3.REG(v1.0)" xfId="441"/>
    <cellStyle name="_Расчет RAB_22072008_FORM910.2012(v1.1)" xfId="442"/>
    <cellStyle name="_Расчет RAB_22072008_INDEX.STATION.2012(v2.1)" xfId="443"/>
    <cellStyle name="_Расчет RAB_22072008_INDEX.STATION.2013(v1.0)_патч до 1.1" xfId="444"/>
    <cellStyle name="_Расчет RAB_22072008_INVEST.EE.PLAN.4.78(v0.1)" xfId="445"/>
    <cellStyle name="_Расчет RAB_22072008_INVEST.EE.PLAN.4.78(v0.3)" xfId="446"/>
    <cellStyle name="_Расчет RAB_22072008_INVEST.EE.PLAN.4.78(v1.0)" xfId="447"/>
    <cellStyle name="_Расчет RAB_22072008_INVEST.EE.PLAN.4.78(v1.0)_PASSPORT.TEPLO.PROIZV(v2.0)" xfId="448"/>
    <cellStyle name="_Расчет RAB_22072008_INVEST.EE.PLAN.4.78(v1.0)_PASSPORT.TEPLO.PROIZV(v2.0)_INDEX.STATION.2013(v1.0)_патч до 1.1" xfId="449"/>
    <cellStyle name="_Расчет RAB_22072008_INVEST.EE.PLAN.4.78(v1.0)_PASSPORT.TEPLO.PROIZV(v2.0)_TEPLO.PREDEL.2013(v2.0)" xfId="450"/>
    <cellStyle name="_Расчет RAB_22072008_INVEST.PLAN.4.78(v0.1)" xfId="451"/>
    <cellStyle name="_Расчет RAB_22072008_INVEST.WARM.PLAN.4.78(v0.1)" xfId="452"/>
    <cellStyle name="_Расчет RAB_22072008_INVEST_WARM_PLAN" xfId="453"/>
    <cellStyle name="_Расчет RAB_22072008_NADB.JNVLP.APTEKA.2012(v1.0)_21_02_12" xfId="454"/>
    <cellStyle name="_Расчет RAB_22072008_NADB.JNVLS.APTEKA.2011(v1.3.3)" xfId="455"/>
    <cellStyle name="_Расчет RAB_22072008_NADB.JNVLS.APTEKA.2011(v1.3.3)_46TE.2011(v1.0)" xfId="456"/>
    <cellStyle name="_Расчет RAB_22072008_NADB.JNVLS.APTEKA.2011(v1.3.3)_INDEX.STATION.2012(v1.0)_" xfId="457"/>
    <cellStyle name="_Расчет RAB_22072008_NADB.JNVLS.APTEKA.2011(v1.3.3)_INDEX.STATION.2012(v2.0)" xfId="458"/>
    <cellStyle name="_Расчет RAB_22072008_NADB.JNVLS.APTEKA.2011(v1.3.3)_INDEX.STATION.2012(v2.1)" xfId="459"/>
    <cellStyle name="_Расчет RAB_22072008_NADB.JNVLS.APTEKA.2011(v1.3.3)_TEPLO.PREDEL.2012.M(v1.1)_test" xfId="460"/>
    <cellStyle name="_Расчет RAB_22072008_NADB.JNVLS.APTEKA.2011(v1.3.4)" xfId="461"/>
    <cellStyle name="_Расчет RAB_22072008_NADB.JNVLS.APTEKA.2011(v1.3.4)_46TE.2011(v1.0)" xfId="462"/>
    <cellStyle name="_Расчет RAB_22072008_NADB.JNVLS.APTEKA.2011(v1.3.4)_INDEX.STATION.2012(v1.0)_" xfId="463"/>
    <cellStyle name="_Расчет RAB_22072008_NADB.JNVLS.APTEKA.2011(v1.3.4)_INDEX.STATION.2012(v2.0)" xfId="464"/>
    <cellStyle name="_Расчет RAB_22072008_NADB.JNVLS.APTEKA.2011(v1.3.4)_INDEX.STATION.2012(v2.1)" xfId="465"/>
    <cellStyle name="_Расчет RAB_22072008_NADB.JNVLS.APTEKA.2011(v1.3.4)_TEPLO.PREDEL.2012.M(v1.1)_test" xfId="466"/>
    <cellStyle name="_Расчет RAB_22072008_PASSPORT.TEPLO.PROIZV(v2.0)" xfId="467"/>
    <cellStyle name="_Расчет RAB_22072008_PASSPORT.TEPLO.PROIZV(v2.1)" xfId="468"/>
    <cellStyle name="_Расчет RAB_22072008_PASSPORT.TEPLO.SETI(v0.7)" xfId="469"/>
    <cellStyle name="_Расчет RAB_22072008_PASSPORT.TEPLO.SETI(v1.0)" xfId="470"/>
    <cellStyle name="_Расчет RAB_22072008_PREDEL.JKH.UTV.2011(v1.0.1)" xfId="471"/>
    <cellStyle name="_Расчет RAB_22072008_PREDEL.JKH.UTV.2011(v1.0.1)_46TE.2011(v1.0)" xfId="472"/>
    <cellStyle name="_Расчет RAB_22072008_PREDEL.JKH.UTV.2011(v1.0.1)_INDEX.STATION.2012(v1.0)_" xfId="473"/>
    <cellStyle name="_Расчет RAB_22072008_PREDEL.JKH.UTV.2011(v1.0.1)_INDEX.STATION.2012(v2.0)" xfId="474"/>
    <cellStyle name="_Расчет RAB_22072008_PREDEL.JKH.UTV.2011(v1.0.1)_INDEX.STATION.2012(v2.1)" xfId="475"/>
    <cellStyle name="_Расчет RAB_22072008_PREDEL.JKH.UTV.2011(v1.0.1)_TEPLO.PREDEL.2012.M(v1.1)_test" xfId="476"/>
    <cellStyle name="_Расчет RAB_22072008_PREDEL.JKH.UTV.2011(v1.1)" xfId="477"/>
    <cellStyle name="_Расчет RAB_22072008_REP.BLR.2012(v1.0)" xfId="478"/>
    <cellStyle name="_Расчет RAB_22072008_TEHSHEET" xfId="479"/>
    <cellStyle name="_Расчет RAB_22072008_TEPLO.PREDEL.2012.M(v1.1)" xfId="480"/>
    <cellStyle name="_Расчет RAB_22072008_TEPLO.PREDEL.2013(v2.0)" xfId="481"/>
    <cellStyle name="_Расчет RAB_22072008_TEST.TEMPLATE" xfId="482"/>
    <cellStyle name="_Расчет RAB_22072008_UPDATE.46EE.2011.TO.1.1" xfId="483"/>
    <cellStyle name="_Расчет RAB_22072008_UPDATE.46TE.2011.TO.1.1" xfId="484"/>
    <cellStyle name="_Расчет RAB_22072008_UPDATE.46TE.2011.TO.1.2" xfId="485"/>
    <cellStyle name="_Расчет RAB_22072008_UPDATE.BALANCE.WARM.2011YEAR.TO.1.1" xfId="486"/>
    <cellStyle name="_Расчет RAB_22072008_UPDATE.BALANCE.WARM.2011YEAR.TO.1.1 2" xfId="487"/>
    <cellStyle name="_Расчет RAB_22072008_UPDATE.BALANCE.WARM.2011YEAR.TO.1.1_46TE.2011(v1.0)" xfId="488"/>
    <cellStyle name="_Расчет RAB_22072008_UPDATE.BALANCE.WARM.2011YEAR.TO.1.1_INDEX.STATION.2012(v1.0)_" xfId="489"/>
    <cellStyle name="_Расчет RAB_22072008_UPDATE.BALANCE.WARM.2011YEAR.TO.1.1_INDEX.STATION.2012(v2.0)" xfId="490"/>
    <cellStyle name="_Расчет RAB_22072008_UPDATE.BALANCE.WARM.2011YEAR.TO.1.1_INDEX.STATION.2012(v2.1)" xfId="491"/>
    <cellStyle name="_Расчет RAB_22072008_UPDATE.BALANCE.WARM.2011YEAR.TO.1.1_OREP.KU.2011.MONTHLY.02(v1.1)" xfId="492"/>
    <cellStyle name="_Расчет RAB_22072008_UPDATE.BALANCE.WARM.2011YEAR.TO.1.1_TEPLO.PREDEL.2012.M(v1.1)_test" xfId="493"/>
    <cellStyle name="_Расчет RAB_22072008_UPDATE.BALANCE.WARM.2011YEAR.TO.1.1_UPDATE.BALANCE.VODOSN.2011YEAR.TO.1.1" xfId="494"/>
    <cellStyle name="_Расчет RAB_22072008_UPDATE.BALANCE.WARM.2011YEAR.TO.1.2" xfId="495"/>
    <cellStyle name="_Расчет RAB_22072008_UPDATE.BALANCE.WARM.2011YEAR.TO.1.4.64" xfId="496"/>
    <cellStyle name="_Расчет RAB_22072008_UPDATE.BALANCE.WARM.2011YEAR.TO.1.5.64" xfId="497"/>
    <cellStyle name="_Расчет RAB_22072008_UPDATE.MONITORING.OS.EE.2.02.TO.1.3.64" xfId="498"/>
    <cellStyle name="_Расчет RAB_22072008_UPDATE.NADB.JNVLS.APTEKA.2011.TO.1.3.4" xfId="499"/>
    <cellStyle name="_Расчет RAB_Лен и МОЭСК_с 2010 года_14.04.2009_со сглаж_version 3.0_без ФСК" xfId="500"/>
    <cellStyle name="_Расчет RAB_Лен и МОЭСК_с 2010 года_14.04.2009_со сглаж_version 3.0_без ФСК 2" xfId="501"/>
    <cellStyle name="_Расчет RAB_Лен и МОЭСК_с 2010 года_14.04.2009_со сглаж_version 3.0_без ФСК 2_OREP.KU.2011.MONTHLY.02(v0.1)" xfId="502"/>
    <cellStyle name="_Расчет RAB_Лен и МОЭСК_с 2010 года_14.04.2009_со сглаж_version 3.0_без ФСК 2_OREP.KU.2011.MONTHLY.02(v0.4)" xfId="503"/>
    <cellStyle name="_Расчет RAB_Лен и МОЭСК_с 2010 года_14.04.2009_со сглаж_version 3.0_без ФСК 2_OREP.KU.2011.MONTHLY.11(v1.4)" xfId="504"/>
    <cellStyle name="_Расчет RAB_Лен и МОЭСК_с 2010 года_14.04.2009_со сглаж_version 3.0_без ФСК 2_OREP.KU.2011.MONTHLY.11(v1.4)_UPDATE.BALANCE.WARM.2012YEAR.TO.1.1" xfId="505"/>
    <cellStyle name="_Расчет RAB_Лен и МОЭСК_с 2010 года_14.04.2009_со сглаж_version 3.0_без ФСК 2_OREP.KU.2011.MONTHLY.11(v1.4)_UPDATE.CALC.WARM.2012YEAR.TO.1.1" xfId="506"/>
    <cellStyle name="_Расчет RAB_Лен и МОЭСК_с 2010 года_14.04.2009_со сглаж_version 3.0_без ФСК 2_UPDATE.BALANCE.WARM.2012YEAR.TO.1.1" xfId="507"/>
    <cellStyle name="_Расчет RAB_Лен и МОЭСК_с 2010 года_14.04.2009_со сглаж_version 3.0_без ФСК 2_UPDATE.CALC.WARM.2012YEAR.TO.1.1" xfId="508"/>
    <cellStyle name="_Расчет RAB_Лен и МОЭСК_с 2010 года_14.04.2009_со сглаж_version 3.0_без ФСК 2_UPDATE.MONITORING.OS.EE.2.02.TO.1.3.64" xfId="509"/>
    <cellStyle name="_Расчет RAB_Лен и МОЭСК_с 2010 года_14.04.2009_со сглаж_version 3.0_без ФСК 2_UPDATE.OREP.KU.2011.MONTHLY.02.TO.1.2" xfId="510"/>
    <cellStyle name="_Расчет RAB_Лен и МОЭСК_с 2010 года_14.04.2009_со сглаж_version 3.0_без ФСК_46EE.2011(v1.0)" xfId="511"/>
    <cellStyle name="_Расчет RAB_Лен и МОЭСК_с 2010 года_14.04.2009_со сглаж_version 3.0_без ФСК_46EE.2011(v1.0)_46TE.2011(v1.0)" xfId="512"/>
    <cellStyle name="_Расчет RAB_Лен и МОЭСК_с 2010 года_14.04.2009_со сглаж_version 3.0_без ФСК_46EE.2011(v1.0)_INDEX.STATION.2012(v1.0)_" xfId="513"/>
    <cellStyle name="_Расчет RAB_Лен и МОЭСК_с 2010 года_14.04.2009_со сглаж_version 3.0_без ФСК_46EE.2011(v1.0)_INDEX.STATION.2012(v2.0)" xfId="514"/>
    <cellStyle name="_Расчет RAB_Лен и МОЭСК_с 2010 года_14.04.2009_со сглаж_version 3.0_без ФСК_46EE.2011(v1.0)_INDEX.STATION.2012(v2.1)" xfId="515"/>
    <cellStyle name="_Расчет RAB_Лен и МОЭСК_с 2010 года_14.04.2009_со сглаж_version 3.0_без ФСК_46EE.2011(v1.0)_TEPLO.PREDEL.2012.M(v1.1)_test" xfId="516"/>
    <cellStyle name="_Расчет RAB_Лен и МОЭСК_с 2010 года_14.04.2009_со сглаж_version 3.0_без ФСК_46EE.2011(v1.2)" xfId="517"/>
    <cellStyle name="_Расчет RAB_Лен и МОЭСК_с 2010 года_14.04.2009_со сглаж_version 3.0_без ФСК_46EP.2011(v2.0)" xfId="518"/>
    <cellStyle name="_Расчет RAB_Лен и МОЭСК_с 2010 года_14.04.2009_со сглаж_version 3.0_без ФСК_46EP.2012(v0.1)" xfId="519"/>
    <cellStyle name="_Расчет RAB_Лен и МОЭСК_с 2010 года_14.04.2009_со сглаж_version 3.0_без ФСК_46TE.2011(v1.0)" xfId="520"/>
    <cellStyle name="_Расчет RAB_Лен и МОЭСК_с 2010 года_14.04.2009_со сглаж_version 3.0_без ФСК_4DNS.UPDATE.EXAMPLE" xfId="521"/>
    <cellStyle name="_Расчет RAB_Лен и МОЭСК_с 2010 года_14.04.2009_со сглаж_version 3.0_без ФСК_ARMRAZR" xfId="522"/>
    <cellStyle name="_Расчет RAB_Лен и МОЭСК_с 2010 года_14.04.2009_со сглаж_version 3.0_без ФСК_BALANCE.VODOSN.2011YEAR_Глазов" xfId="523"/>
    <cellStyle name="_Расчет RAB_Лен и МОЭСК_с 2010 года_14.04.2009_со сглаж_version 3.0_без ФСК_BALANCE.WARM.2010.FACT(v1.0)" xfId="524"/>
    <cellStyle name="_Расчет RAB_Лен и МОЭСК_с 2010 года_14.04.2009_со сглаж_version 3.0_без ФСК_BALANCE.WARM.2010.PLAN" xfId="525"/>
    <cellStyle name="_Расчет RAB_Лен и МОЭСК_с 2010 года_14.04.2009_со сглаж_version 3.0_без ФСК_BALANCE.WARM.2011YEAR(v0.7)" xfId="526"/>
    <cellStyle name="_Расчет RAB_Лен и МОЭСК_с 2010 года_14.04.2009_со сглаж_version 3.0_без ФСК_BALANCE.WARM.2011YEAR.NEW.UPDATE.SCHEME" xfId="527"/>
    <cellStyle name="_Расчет RAB_Лен и МОЭСК_с 2010 года_14.04.2009_со сглаж_version 3.0_без ФСК_CALC.NORMATIV.KU(v0.2)" xfId="528"/>
    <cellStyle name="_Расчет RAB_Лен и МОЭСК_с 2010 года_14.04.2009_со сглаж_version 3.0_без ФСК_EE.2REK.P2011.4.78(v0.3)" xfId="529"/>
    <cellStyle name="_Расчет RAB_Лен и МОЭСК_с 2010 года_14.04.2009_со сглаж_version 3.0_без ФСК_FORM3.1.2013(v0.2)" xfId="530"/>
    <cellStyle name="_Расчет RAB_Лен и МОЭСК_с 2010 года_14.04.2009_со сглаж_version 3.0_без ФСК_FORM3.2013(v1.0)" xfId="531"/>
    <cellStyle name="_Расчет RAB_Лен и МОЭСК_с 2010 года_14.04.2009_со сглаж_version 3.0_без ФСК_FORM3.REG(v1.0)" xfId="532"/>
    <cellStyle name="_Расчет RAB_Лен и МОЭСК_с 2010 года_14.04.2009_со сглаж_version 3.0_без ФСК_FORM910.2012(v1.1)" xfId="533"/>
    <cellStyle name="_Расчет RAB_Лен и МОЭСК_с 2010 года_14.04.2009_со сглаж_version 3.0_без ФСК_INDEX.STATION.2012(v2.1)" xfId="534"/>
    <cellStyle name="_Расчет RAB_Лен и МОЭСК_с 2010 года_14.04.2009_со сглаж_version 3.0_без ФСК_INDEX.STATION.2013(v1.0)_патч до 1.1" xfId="535"/>
    <cellStyle name="_Расчет RAB_Лен и МОЭСК_с 2010 года_14.04.2009_со сглаж_version 3.0_без ФСК_INVEST.EE.PLAN.4.78(v0.1)" xfId="536"/>
    <cellStyle name="_Расчет RAB_Лен и МОЭСК_с 2010 года_14.04.2009_со сглаж_version 3.0_без ФСК_INVEST.EE.PLAN.4.78(v0.3)" xfId="537"/>
    <cellStyle name="_Расчет RAB_Лен и МОЭСК_с 2010 года_14.04.2009_со сглаж_version 3.0_без ФСК_INVEST.EE.PLAN.4.78(v1.0)" xfId="538"/>
    <cellStyle name="_Расчет RAB_Лен и МОЭСК_с 2010 года_14.04.2009_со сглаж_version 3.0_без ФСК_INVEST.EE.PLAN.4.78(v1.0)_PASSPORT.TEPLO.PROIZV(v2.0)" xfId="539"/>
    <cellStyle name="_Расчет RAB_Лен и МОЭСК_с 2010 года_14.04.2009_со сглаж_version 3.0_без ФСК_INVEST.EE.PLAN.4.78(v1.0)_PASSPORT.TEPLO.PROIZV(v2.0)_INDEX.STATION.2013(v1.0)_патч до 1.1" xfId="540"/>
    <cellStyle name="_Расчет RAB_Лен и МОЭСК_с 2010 года_14.04.2009_со сглаж_version 3.0_без ФСК_INVEST.EE.PLAN.4.78(v1.0)_PASSPORT.TEPLO.PROIZV(v2.0)_TEPLO.PREDEL.2013(v2.0)" xfId="541"/>
    <cellStyle name="_Расчет RAB_Лен и МОЭСК_с 2010 года_14.04.2009_со сглаж_version 3.0_без ФСК_INVEST.PLAN.4.78(v0.1)" xfId="542"/>
    <cellStyle name="_Расчет RAB_Лен и МОЭСК_с 2010 года_14.04.2009_со сглаж_version 3.0_без ФСК_INVEST.WARM.PLAN.4.78(v0.1)" xfId="543"/>
    <cellStyle name="_Расчет RAB_Лен и МОЭСК_с 2010 года_14.04.2009_со сглаж_version 3.0_без ФСК_INVEST_WARM_PLAN" xfId="544"/>
    <cellStyle name="_Расчет RAB_Лен и МОЭСК_с 2010 года_14.04.2009_со сглаж_version 3.0_без ФСК_NADB.JNVLP.APTEKA.2012(v1.0)_21_02_12" xfId="545"/>
    <cellStyle name="_Расчет RAB_Лен и МОЭСК_с 2010 года_14.04.2009_со сглаж_version 3.0_без ФСК_NADB.JNVLS.APTEKA.2011(v1.3.3)" xfId="546"/>
    <cellStyle name="_Расчет RAB_Лен и МОЭСК_с 2010 года_14.04.2009_со сглаж_version 3.0_без ФСК_NADB.JNVLS.APTEKA.2011(v1.3.3)_46TE.2011(v1.0)" xfId="547"/>
    <cellStyle name="_Расчет RAB_Лен и МОЭСК_с 2010 года_14.04.2009_со сглаж_version 3.0_без ФСК_NADB.JNVLS.APTEKA.2011(v1.3.3)_INDEX.STATION.2012(v1.0)_" xfId="548"/>
    <cellStyle name="_Расчет RAB_Лен и МОЭСК_с 2010 года_14.04.2009_со сглаж_version 3.0_без ФСК_NADB.JNVLS.APTEKA.2011(v1.3.3)_INDEX.STATION.2012(v2.0)" xfId="549"/>
    <cellStyle name="_Расчет RAB_Лен и МОЭСК_с 2010 года_14.04.2009_со сглаж_version 3.0_без ФСК_NADB.JNVLS.APTEKA.2011(v1.3.3)_INDEX.STATION.2012(v2.1)" xfId="550"/>
    <cellStyle name="_Расчет RAB_Лен и МОЭСК_с 2010 года_14.04.2009_со сглаж_version 3.0_без ФСК_NADB.JNVLS.APTEKA.2011(v1.3.3)_TEPLO.PREDEL.2012.M(v1.1)_test" xfId="551"/>
    <cellStyle name="_Расчет RAB_Лен и МОЭСК_с 2010 года_14.04.2009_со сглаж_version 3.0_без ФСК_NADB.JNVLS.APTEKA.2011(v1.3.4)" xfId="552"/>
    <cellStyle name="_Расчет RAB_Лен и МОЭСК_с 2010 года_14.04.2009_со сглаж_version 3.0_без ФСК_NADB.JNVLS.APTEKA.2011(v1.3.4)_46TE.2011(v1.0)" xfId="553"/>
    <cellStyle name="_Расчет RAB_Лен и МОЭСК_с 2010 года_14.04.2009_со сглаж_version 3.0_без ФСК_NADB.JNVLS.APTEKA.2011(v1.3.4)_INDEX.STATION.2012(v1.0)_" xfId="554"/>
    <cellStyle name="_Расчет RAB_Лен и МОЭСК_с 2010 года_14.04.2009_со сглаж_version 3.0_без ФСК_NADB.JNVLS.APTEKA.2011(v1.3.4)_INDEX.STATION.2012(v2.0)" xfId="555"/>
    <cellStyle name="_Расчет RAB_Лен и МОЭСК_с 2010 года_14.04.2009_со сглаж_version 3.0_без ФСК_NADB.JNVLS.APTEKA.2011(v1.3.4)_INDEX.STATION.2012(v2.1)" xfId="556"/>
    <cellStyle name="_Расчет RAB_Лен и МОЭСК_с 2010 года_14.04.2009_со сглаж_version 3.0_без ФСК_NADB.JNVLS.APTEKA.2011(v1.3.4)_TEPLO.PREDEL.2012.M(v1.1)_test" xfId="557"/>
    <cellStyle name="_Расчет RAB_Лен и МОЭСК_с 2010 года_14.04.2009_со сглаж_version 3.0_без ФСК_PASSPORT.TEPLO.PROIZV(v2.0)" xfId="558"/>
    <cellStyle name="_Расчет RAB_Лен и МОЭСК_с 2010 года_14.04.2009_со сглаж_version 3.0_без ФСК_PASSPORT.TEPLO.PROIZV(v2.1)" xfId="559"/>
    <cellStyle name="_Расчет RAB_Лен и МОЭСК_с 2010 года_14.04.2009_со сглаж_version 3.0_без ФСК_PASSPORT.TEPLO.SETI(v0.7)" xfId="560"/>
    <cellStyle name="_Расчет RAB_Лен и МОЭСК_с 2010 года_14.04.2009_со сглаж_version 3.0_без ФСК_PASSPORT.TEPLO.SETI(v1.0)" xfId="561"/>
    <cellStyle name="_Расчет RAB_Лен и МОЭСК_с 2010 года_14.04.2009_со сглаж_version 3.0_без ФСК_PREDEL.JKH.UTV.2011(v1.0.1)" xfId="562"/>
    <cellStyle name="_Расчет RAB_Лен и МОЭСК_с 2010 года_14.04.2009_со сглаж_version 3.0_без ФСК_PREDEL.JKH.UTV.2011(v1.0.1)_46TE.2011(v1.0)" xfId="563"/>
    <cellStyle name="_Расчет RAB_Лен и МОЭСК_с 2010 года_14.04.2009_со сглаж_version 3.0_без ФСК_PREDEL.JKH.UTV.2011(v1.0.1)_INDEX.STATION.2012(v1.0)_" xfId="564"/>
    <cellStyle name="_Расчет RAB_Лен и МОЭСК_с 2010 года_14.04.2009_со сглаж_version 3.0_без ФСК_PREDEL.JKH.UTV.2011(v1.0.1)_INDEX.STATION.2012(v2.0)" xfId="565"/>
    <cellStyle name="_Расчет RAB_Лен и МОЭСК_с 2010 года_14.04.2009_со сглаж_version 3.0_без ФСК_PREDEL.JKH.UTV.2011(v1.0.1)_INDEX.STATION.2012(v2.1)" xfId="566"/>
    <cellStyle name="_Расчет RAB_Лен и МОЭСК_с 2010 года_14.04.2009_со сглаж_version 3.0_без ФСК_PREDEL.JKH.UTV.2011(v1.0.1)_TEPLO.PREDEL.2012.M(v1.1)_test" xfId="567"/>
    <cellStyle name="_Расчет RAB_Лен и МОЭСК_с 2010 года_14.04.2009_со сглаж_version 3.0_без ФСК_PREDEL.JKH.UTV.2011(v1.1)" xfId="568"/>
    <cellStyle name="_Расчет RAB_Лен и МОЭСК_с 2010 года_14.04.2009_со сглаж_version 3.0_без ФСК_REP.BLR.2012(v1.0)" xfId="569"/>
    <cellStyle name="_Расчет RAB_Лен и МОЭСК_с 2010 года_14.04.2009_со сглаж_version 3.0_без ФСК_TEHSHEET" xfId="570"/>
    <cellStyle name="_Расчет RAB_Лен и МОЭСК_с 2010 года_14.04.2009_со сглаж_version 3.0_без ФСК_TEPLO.PREDEL.2012.M(v1.1)" xfId="571"/>
    <cellStyle name="_Расчет RAB_Лен и МОЭСК_с 2010 года_14.04.2009_со сглаж_version 3.0_без ФСК_TEPLO.PREDEL.2013(v2.0)" xfId="572"/>
    <cellStyle name="_Расчет RAB_Лен и МОЭСК_с 2010 года_14.04.2009_со сглаж_version 3.0_без ФСК_TEST.TEMPLATE" xfId="573"/>
    <cellStyle name="_Расчет RAB_Лен и МОЭСК_с 2010 года_14.04.2009_со сглаж_version 3.0_без ФСК_UPDATE.46EE.2011.TO.1.1" xfId="574"/>
    <cellStyle name="_Расчет RAB_Лен и МОЭСК_с 2010 года_14.04.2009_со сглаж_version 3.0_без ФСК_UPDATE.46TE.2011.TO.1.1" xfId="575"/>
    <cellStyle name="_Расчет RAB_Лен и МОЭСК_с 2010 года_14.04.2009_со сглаж_version 3.0_без ФСК_UPDATE.46TE.2011.TO.1.2" xfId="576"/>
    <cellStyle name="_Расчет RAB_Лен и МОЭСК_с 2010 года_14.04.2009_со сглаж_version 3.0_без ФСК_UPDATE.BALANCE.WARM.2011YEAR.TO.1.1" xfId="577"/>
    <cellStyle name="_Расчет RAB_Лен и МОЭСК_с 2010 года_14.04.2009_со сглаж_version 3.0_без ФСК_UPDATE.BALANCE.WARM.2011YEAR.TO.1.1 2" xfId="578"/>
    <cellStyle name="_Расчет RAB_Лен и МОЭСК_с 2010 года_14.04.2009_со сглаж_version 3.0_без ФСК_UPDATE.BALANCE.WARM.2011YEAR.TO.1.1_46TE.2011(v1.0)" xfId="579"/>
    <cellStyle name="_Расчет RAB_Лен и МОЭСК_с 2010 года_14.04.2009_со сглаж_version 3.0_без ФСК_UPDATE.BALANCE.WARM.2011YEAR.TO.1.1_INDEX.STATION.2012(v1.0)_" xfId="580"/>
    <cellStyle name="_Расчет RAB_Лен и МОЭСК_с 2010 года_14.04.2009_со сглаж_version 3.0_без ФСК_UPDATE.BALANCE.WARM.2011YEAR.TO.1.1_INDEX.STATION.2012(v2.0)" xfId="581"/>
    <cellStyle name="_Расчет RAB_Лен и МОЭСК_с 2010 года_14.04.2009_со сглаж_version 3.0_без ФСК_UPDATE.BALANCE.WARM.2011YEAR.TO.1.1_INDEX.STATION.2012(v2.1)" xfId="582"/>
    <cellStyle name="_Расчет RAB_Лен и МОЭСК_с 2010 года_14.04.2009_со сглаж_version 3.0_без ФСК_UPDATE.BALANCE.WARM.2011YEAR.TO.1.1_OREP.KU.2011.MONTHLY.02(v1.1)" xfId="583"/>
    <cellStyle name="_Расчет RAB_Лен и МОЭСК_с 2010 года_14.04.2009_со сглаж_version 3.0_без ФСК_UPDATE.BALANCE.WARM.2011YEAR.TO.1.1_TEPLO.PREDEL.2012.M(v1.1)_test" xfId="584"/>
    <cellStyle name="_Расчет RAB_Лен и МОЭСК_с 2010 года_14.04.2009_со сглаж_version 3.0_без ФСК_UPDATE.BALANCE.WARM.2011YEAR.TO.1.1_UPDATE.BALANCE.VODOSN.2011YEAR.TO.1.1" xfId="585"/>
    <cellStyle name="_Расчет RAB_Лен и МОЭСК_с 2010 года_14.04.2009_со сглаж_version 3.0_без ФСК_UPDATE.BALANCE.WARM.2011YEAR.TO.1.2" xfId="586"/>
    <cellStyle name="_Расчет RAB_Лен и МОЭСК_с 2010 года_14.04.2009_со сглаж_version 3.0_без ФСК_UPDATE.BALANCE.WARM.2011YEAR.TO.1.4.64" xfId="587"/>
    <cellStyle name="_Расчет RAB_Лен и МОЭСК_с 2010 года_14.04.2009_со сглаж_version 3.0_без ФСК_UPDATE.BALANCE.WARM.2011YEAR.TO.1.5.64" xfId="588"/>
    <cellStyle name="_Расчет RAB_Лен и МОЭСК_с 2010 года_14.04.2009_со сглаж_version 3.0_без ФСК_UPDATE.MONITORING.OS.EE.2.02.TO.1.3.64" xfId="589"/>
    <cellStyle name="_Расчет RAB_Лен и МОЭСК_с 2010 года_14.04.2009_со сглаж_version 3.0_без ФСК_UPDATE.NADB.JNVLS.APTEKA.2011.TO.1.3.4" xfId="590"/>
    <cellStyle name="_Свод по ИПР (2)" xfId="591"/>
    <cellStyle name="_Свод по ИПР (2)_Новая инструкция1_фст" xfId="592"/>
    <cellStyle name="_Справочник затрат_ЛХ_20.10.05" xfId="593"/>
    <cellStyle name="_таблицы для расчетов28-04-08_2006-2009_прибыль корр_по ИА" xfId="594"/>
    <cellStyle name="_таблицы для расчетов28-04-08_2006-2009_прибыль корр_по ИА_Новая инструкция1_фст" xfId="595"/>
    <cellStyle name="_таблицы для расчетов28-04-08_2006-2009с ИА" xfId="596"/>
    <cellStyle name="_таблицы для расчетов28-04-08_2006-2009с ИА_Новая инструкция1_фст" xfId="597"/>
    <cellStyle name="_Форма 6  РТК.xls(отчет по Адр пр. ЛО)" xfId="598"/>
    <cellStyle name="_Форма 6  РТК.xls(отчет по Адр пр. ЛО)_Новая инструкция1_фст" xfId="599"/>
    <cellStyle name="_Формат разбивки по МРСК_РСК" xfId="600"/>
    <cellStyle name="_Формат разбивки по МРСК_РСК_Новая инструкция1_фст" xfId="601"/>
    <cellStyle name="_Формат_для Согласования" xfId="602"/>
    <cellStyle name="_Формат_для Согласования_Новая инструкция1_фст" xfId="603"/>
    <cellStyle name="_ХХХ Прил 2 Формы бюджетных документов 2007" xfId="604"/>
    <cellStyle name="_экон.форм-т ВО 1 с разбивкой" xfId="605"/>
    <cellStyle name="_экон.форм-т ВО 1 с разбивкой_Новая инструкция1_фст" xfId="606"/>
    <cellStyle name="’К‰Э [0.00]" xfId="607"/>
    <cellStyle name="”€ќђќ‘ћ‚›‰" xfId="608"/>
    <cellStyle name="”€љ‘€ђћ‚ђќќ›‰" xfId="609"/>
    <cellStyle name="”ќђќ‘ћ‚›‰" xfId="610"/>
    <cellStyle name="”ќђќ‘ћ‚›‰ 2" xfId="611"/>
    <cellStyle name="”љ‘ђћ‚ђќќ›‰" xfId="612"/>
    <cellStyle name="”љ‘ђћ‚ђќќ›‰ 2" xfId="613"/>
    <cellStyle name="„…ќ…†ќ›‰" xfId="614"/>
    <cellStyle name="„…ќ…†ќ›‰ 2" xfId="615"/>
    <cellStyle name="€’ћѓћ‚›‰" xfId="616"/>
    <cellStyle name="‡ђѓћ‹ћ‚ћљ1" xfId="617"/>
    <cellStyle name="‡ђѓћ‹ћ‚ћљ1 2" xfId="618"/>
    <cellStyle name="‡ђѓћ‹ћ‚ћљ2" xfId="619"/>
    <cellStyle name="‡ђѓћ‹ћ‚ћљ2 2" xfId="620"/>
    <cellStyle name="’ћѓћ‚›‰" xfId="621"/>
    <cellStyle name="’ћѓћ‚›‰ 2" xfId="622"/>
    <cellStyle name="1Normal" xfId="623"/>
    <cellStyle name="20% - Accent1" xfId="624"/>
    <cellStyle name="20% - Accent1 2" xfId="625"/>
    <cellStyle name="20% - Accent1 3" xfId="626"/>
    <cellStyle name="20% - Accent1_46EE.2011(v1.0)" xfId="627"/>
    <cellStyle name="20% - Accent2" xfId="628"/>
    <cellStyle name="20% - Accent2 2" xfId="629"/>
    <cellStyle name="20% - Accent2 3" xfId="630"/>
    <cellStyle name="20% - Accent2_46EE.2011(v1.0)" xfId="631"/>
    <cellStyle name="20% - Accent3" xfId="632"/>
    <cellStyle name="20% - Accent3 2" xfId="633"/>
    <cellStyle name="20% - Accent3 3" xfId="634"/>
    <cellStyle name="20% - Accent3_46EE.2011(v1.0)" xfId="635"/>
    <cellStyle name="20% - Accent4" xfId="636"/>
    <cellStyle name="20% - Accent4 2" xfId="637"/>
    <cellStyle name="20% - Accent4 3" xfId="638"/>
    <cellStyle name="20% - Accent4_46EE.2011(v1.0)" xfId="639"/>
    <cellStyle name="20% - Accent5" xfId="640"/>
    <cellStyle name="20% - Accent5 2" xfId="641"/>
    <cellStyle name="20% - Accent5 3" xfId="642"/>
    <cellStyle name="20% - Accent5_46EE.2011(v1.0)" xfId="643"/>
    <cellStyle name="20% - Accent6" xfId="644"/>
    <cellStyle name="20% - Accent6 2" xfId="645"/>
    <cellStyle name="20% - Accent6 3" xfId="646"/>
    <cellStyle name="20% - Accent6_46EE.2011(v1.0)" xfId="647"/>
    <cellStyle name="20% - Акцент1 10" xfId="648"/>
    <cellStyle name="20% - Акцент1 2" xfId="649"/>
    <cellStyle name="20% - Акцент1 2 2" xfId="650"/>
    <cellStyle name="20% - Акцент1 2 3" xfId="651"/>
    <cellStyle name="20% - Акцент1 2_46EE.2011(v1.0)" xfId="652"/>
    <cellStyle name="20% - Акцент1 3" xfId="653"/>
    <cellStyle name="20% - Акцент1 3 2" xfId="654"/>
    <cellStyle name="20% - Акцент1 3 3" xfId="655"/>
    <cellStyle name="20% - Акцент1 3_46EE.2011(v1.0)" xfId="656"/>
    <cellStyle name="20% - Акцент1 4" xfId="657"/>
    <cellStyle name="20% - Акцент1 4 2" xfId="658"/>
    <cellStyle name="20% - Акцент1 4 3" xfId="659"/>
    <cellStyle name="20% - Акцент1 4_46EE.2011(v1.0)" xfId="660"/>
    <cellStyle name="20% - Акцент1 5" xfId="661"/>
    <cellStyle name="20% - Акцент1 5 2" xfId="662"/>
    <cellStyle name="20% - Акцент1 5 3" xfId="663"/>
    <cellStyle name="20% - Акцент1 5_46EE.2011(v1.0)" xfId="664"/>
    <cellStyle name="20% - Акцент1 6" xfId="665"/>
    <cellStyle name="20% - Акцент1 6 2" xfId="666"/>
    <cellStyle name="20% - Акцент1 6 3" xfId="667"/>
    <cellStyle name="20% - Акцент1 6_46EE.2011(v1.0)" xfId="668"/>
    <cellStyle name="20% - Акцент1 7" xfId="669"/>
    <cellStyle name="20% - Акцент1 7 2" xfId="670"/>
    <cellStyle name="20% - Акцент1 7 3" xfId="671"/>
    <cellStyle name="20% - Акцент1 7_46EE.2011(v1.0)" xfId="672"/>
    <cellStyle name="20% - Акцент1 8" xfId="673"/>
    <cellStyle name="20% - Акцент1 8 2" xfId="674"/>
    <cellStyle name="20% - Акцент1 8 3" xfId="675"/>
    <cellStyle name="20% - Акцент1 8_46EE.2011(v1.0)" xfId="676"/>
    <cellStyle name="20% - Акцент1 9" xfId="677"/>
    <cellStyle name="20% - Акцент1 9 2" xfId="678"/>
    <cellStyle name="20% - Акцент1 9 3" xfId="679"/>
    <cellStyle name="20% - Акцент1 9_46EE.2011(v1.0)" xfId="680"/>
    <cellStyle name="20% - Акцент2 10" xfId="681"/>
    <cellStyle name="20% - Акцент2 2" xfId="682"/>
    <cellStyle name="20% - Акцент2 2 2" xfId="683"/>
    <cellStyle name="20% - Акцент2 2 3" xfId="684"/>
    <cellStyle name="20% - Акцент2 2_46EE.2011(v1.0)" xfId="685"/>
    <cellStyle name="20% - Акцент2 3" xfId="686"/>
    <cellStyle name="20% - Акцент2 3 2" xfId="687"/>
    <cellStyle name="20% - Акцент2 3 3" xfId="688"/>
    <cellStyle name="20% - Акцент2 3_46EE.2011(v1.0)" xfId="689"/>
    <cellStyle name="20% - Акцент2 4" xfId="690"/>
    <cellStyle name="20% - Акцент2 4 2" xfId="691"/>
    <cellStyle name="20% - Акцент2 4 3" xfId="692"/>
    <cellStyle name="20% - Акцент2 4_46EE.2011(v1.0)" xfId="693"/>
    <cellStyle name="20% - Акцент2 5" xfId="694"/>
    <cellStyle name="20% - Акцент2 5 2" xfId="695"/>
    <cellStyle name="20% - Акцент2 5 3" xfId="696"/>
    <cellStyle name="20% - Акцент2 5_46EE.2011(v1.0)" xfId="697"/>
    <cellStyle name="20% - Акцент2 6" xfId="698"/>
    <cellStyle name="20% - Акцент2 6 2" xfId="699"/>
    <cellStyle name="20% - Акцент2 6 3" xfId="700"/>
    <cellStyle name="20% - Акцент2 6_46EE.2011(v1.0)" xfId="701"/>
    <cellStyle name="20% - Акцент2 7" xfId="702"/>
    <cellStyle name="20% - Акцент2 7 2" xfId="703"/>
    <cellStyle name="20% - Акцент2 7 3" xfId="704"/>
    <cellStyle name="20% - Акцент2 7_46EE.2011(v1.0)" xfId="705"/>
    <cellStyle name="20% - Акцент2 8" xfId="706"/>
    <cellStyle name="20% - Акцент2 8 2" xfId="707"/>
    <cellStyle name="20% - Акцент2 8 3" xfId="708"/>
    <cellStyle name="20% - Акцент2 8_46EE.2011(v1.0)" xfId="709"/>
    <cellStyle name="20% - Акцент2 9" xfId="710"/>
    <cellStyle name="20% - Акцент2 9 2" xfId="711"/>
    <cellStyle name="20% - Акцент2 9 3" xfId="712"/>
    <cellStyle name="20% - Акцент2 9_46EE.2011(v1.0)" xfId="713"/>
    <cellStyle name="20% - Акцент3 10" xfId="714"/>
    <cellStyle name="20% - Акцент3 2" xfId="715"/>
    <cellStyle name="20% - Акцент3 2 2" xfId="716"/>
    <cellStyle name="20% - Акцент3 2 3" xfId="717"/>
    <cellStyle name="20% - Акцент3 2_46EE.2011(v1.0)" xfId="718"/>
    <cellStyle name="20% - Акцент3 3" xfId="719"/>
    <cellStyle name="20% - Акцент3 3 2" xfId="720"/>
    <cellStyle name="20% - Акцент3 3 3" xfId="721"/>
    <cellStyle name="20% - Акцент3 3_46EE.2011(v1.0)" xfId="722"/>
    <cellStyle name="20% - Акцент3 4" xfId="723"/>
    <cellStyle name="20% - Акцент3 4 2" xfId="724"/>
    <cellStyle name="20% - Акцент3 4 3" xfId="725"/>
    <cellStyle name="20% - Акцент3 4_46EE.2011(v1.0)" xfId="726"/>
    <cellStyle name="20% - Акцент3 5" xfId="727"/>
    <cellStyle name="20% - Акцент3 5 2" xfId="728"/>
    <cellStyle name="20% - Акцент3 5 3" xfId="729"/>
    <cellStyle name="20% - Акцент3 5_46EE.2011(v1.0)" xfId="730"/>
    <cellStyle name="20% - Акцент3 6" xfId="731"/>
    <cellStyle name="20% - Акцент3 6 2" xfId="732"/>
    <cellStyle name="20% - Акцент3 6 3" xfId="733"/>
    <cellStyle name="20% - Акцент3 6_46EE.2011(v1.0)" xfId="734"/>
    <cellStyle name="20% - Акцент3 7" xfId="735"/>
    <cellStyle name="20% - Акцент3 7 2" xfId="736"/>
    <cellStyle name="20% - Акцент3 7 3" xfId="737"/>
    <cellStyle name="20% - Акцент3 7_46EE.2011(v1.0)" xfId="738"/>
    <cellStyle name="20% - Акцент3 8" xfId="739"/>
    <cellStyle name="20% - Акцент3 8 2" xfId="740"/>
    <cellStyle name="20% - Акцент3 8 3" xfId="741"/>
    <cellStyle name="20% - Акцент3 8_46EE.2011(v1.0)" xfId="742"/>
    <cellStyle name="20% - Акцент3 9" xfId="743"/>
    <cellStyle name="20% - Акцент3 9 2" xfId="744"/>
    <cellStyle name="20% - Акцент3 9 3" xfId="745"/>
    <cellStyle name="20% - Акцент3 9_46EE.2011(v1.0)" xfId="746"/>
    <cellStyle name="20% - Акцент4 10" xfId="747"/>
    <cellStyle name="20% - Акцент4 2" xfId="748"/>
    <cellStyle name="20% - Акцент4 2 2" xfId="749"/>
    <cellStyle name="20% - Акцент4 2 3" xfId="750"/>
    <cellStyle name="20% - Акцент4 2_46EE.2011(v1.0)" xfId="751"/>
    <cellStyle name="20% - Акцент4 3" xfId="752"/>
    <cellStyle name="20% - Акцент4 3 2" xfId="753"/>
    <cellStyle name="20% - Акцент4 3 3" xfId="754"/>
    <cellStyle name="20% - Акцент4 3_46EE.2011(v1.0)" xfId="755"/>
    <cellStyle name="20% - Акцент4 4" xfId="756"/>
    <cellStyle name="20% - Акцент4 4 2" xfId="757"/>
    <cellStyle name="20% - Акцент4 4 3" xfId="758"/>
    <cellStyle name="20% - Акцент4 4_46EE.2011(v1.0)" xfId="759"/>
    <cellStyle name="20% - Акцент4 5" xfId="760"/>
    <cellStyle name="20% - Акцент4 5 2" xfId="761"/>
    <cellStyle name="20% - Акцент4 5 3" xfId="762"/>
    <cellStyle name="20% - Акцент4 5_46EE.2011(v1.0)" xfId="763"/>
    <cellStyle name="20% - Акцент4 6" xfId="764"/>
    <cellStyle name="20% - Акцент4 6 2" xfId="765"/>
    <cellStyle name="20% - Акцент4 6 3" xfId="766"/>
    <cellStyle name="20% - Акцент4 6_46EE.2011(v1.0)" xfId="767"/>
    <cellStyle name="20% - Акцент4 7" xfId="768"/>
    <cellStyle name="20% - Акцент4 7 2" xfId="769"/>
    <cellStyle name="20% - Акцент4 7 3" xfId="770"/>
    <cellStyle name="20% - Акцент4 7_46EE.2011(v1.0)" xfId="771"/>
    <cellStyle name="20% - Акцент4 8" xfId="772"/>
    <cellStyle name="20% - Акцент4 8 2" xfId="773"/>
    <cellStyle name="20% - Акцент4 8 3" xfId="774"/>
    <cellStyle name="20% - Акцент4 8_46EE.2011(v1.0)" xfId="775"/>
    <cellStyle name="20% - Акцент4 9" xfId="776"/>
    <cellStyle name="20% - Акцент4 9 2" xfId="777"/>
    <cellStyle name="20% - Акцент4 9 3" xfId="778"/>
    <cellStyle name="20% - Акцент4 9_46EE.2011(v1.0)" xfId="779"/>
    <cellStyle name="20% - Акцент5 10" xfId="780"/>
    <cellStyle name="20% - Акцент5 2" xfId="781"/>
    <cellStyle name="20% - Акцент5 2 2" xfId="782"/>
    <cellStyle name="20% - Акцент5 2 3" xfId="783"/>
    <cellStyle name="20% - Акцент5 2_46EE.2011(v1.0)" xfId="784"/>
    <cellStyle name="20% - Акцент5 3" xfId="785"/>
    <cellStyle name="20% - Акцент5 3 2" xfId="786"/>
    <cellStyle name="20% - Акцент5 3 3" xfId="787"/>
    <cellStyle name="20% - Акцент5 3_46EE.2011(v1.0)" xfId="788"/>
    <cellStyle name="20% - Акцент5 4" xfId="789"/>
    <cellStyle name="20% - Акцент5 4 2" xfId="790"/>
    <cellStyle name="20% - Акцент5 4 3" xfId="791"/>
    <cellStyle name="20% - Акцент5 4_46EE.2011(v1.0)" xfId="792"/>
    <cellStyle name="20% - Акцент5 5" xfId="793"/>
    <cellStyle name="20% - Акцент5 5 2" xfId="794"/>
    <cellStyle name="20% - Акцент5 5 3" xfId="795"/>
    <cellStyle name="20% - Акцент5 5_46EE.2011(v1.0)" xfId="796"/>
    <cellStyle name="20% - Акцент5 6" xfId="797"/>
    <cellStyle name="20% - Акцент5 6 2" xfId="798"/>
    <cellStyle name="20% - Акцент5 6 3" xfId="799"/>
    <cellStyle name="20% - Акцент5 6_46EE.2011(v1.0)" xfId="800"/>
    <cellStyle name="20% - Акцент5 7" xfId="801"/>
    <cellStyle name="20% - Акцент5 7 2" xfId="802"/>
    <cellStyle name="20% - Акцент5 7 3" xfId="803"/>
    <cellStyle name="20% - Акцент5 7_46EE.2011(v1.0)" xfId="804"/>
    <cellStyle name="20% - Акцент5 8" xfId="805"/>
    <cellStyle name="20% - Акцент5 8 2" xfId="806"/>
    <cellStyle name="20% - Акцент5 8 3" xfId="807"/>
    <cellStyle name="20% - Акцент5 8_46EE.2011(v1.0)" xfId="808"/>
    <cellStyle name="20% - Акцент5 9" xfId="809"/>
    <cellStyle name="20% - Акцент5 9 2" xfId="810"/>
    <cellStyle name="20% - Акцент5 9 3" xfId="811"/>
    <cellStyle name="20% - Акцент5 9_46EE.2011(v1.0)" xfId="812"/>
    <cellStyle name="20% - Акцент6 10" xfId="813"/>
    <cellStyle name="20% - Акцент6 2" xfId="814"/>
    <cellStyle name="20% - Акцент6 2 2" xfId="815"/>
    <cellStyle name="20% - Акцент6 2 3" xfId="816"/>
    <cellStyle name="20% - Акцент6 2_46EE.2011(v1.0)" xfId="817"/>
    <cellStyle name="20% - Акцент6 3" xfId="818"/>
    <cellStyle name="20% - Акцент6 3 2" xfId="819"/>
    <cellStyle name="20% - Акцент6 3 3" xfId="820"/>
    <cellStyle name="20% - Акцент6 3_46EE.2011(v1.0)" xfId="821"/>
    <cellStyle name="20% - Акцент6 4" xfId="822"/>
    <cellStyle name="20% - Акцент6 4 2" xfId="823"/>
    <cellStyle name="20% - Акцент6 4 3" xfId="824"/>
    <cellStyle name="20% - Акцент6 4_46EE.2011(v1.0)" xfId="825"/>
    <cellStyle name="20% - Акцент6 5" xfId="826"/>
    <cellStyle name="20% - Акцент6 5 2" xfId="827"/>
    <cellStyle name="20% - Акцент6 5 3" xfId="828"/>
    <cellStyle name="20% - Акцент6 5_46EE.2011(v1.0)" xfId="829"/>
    <cellStyle name="20% - Акцент6 6" xfId="830"/>
    <cellStyle name="20% - Акцент6 6 2" xfId="831"/>
    <cellStyle name="20% - Акцент6 6 3" xfId="832"/>
    <cellStyle name="20% - Акцент6 6_46EE.2011(v1.0)" xfId="833"/>
    <cellStyle name="20% - Акцент6 7" xfId="834"/>
    <cellStyle name="20% - Акцент6 7 2" xfId="835"/>
    <cellStyle name="20% - Акцент6 7 3" xfId="836"/>
    <cellStyle name="20% - Акцент6 7_46EE.2011(v1.0)" xfId="837"/>
    <cellStyle name="20% - Акцент6 8" xfId="838"/>
    <cellStyle name="20% - Акцент6 8 2" xfId="839"/>
    <cellStyle name="20% - Акцент6 8 3" xfId="840"/>
    <cellStyle name="20% - Акцент6 8_46EE.2011(v1.0)" xfId="841"/>
    <cellStyle name="20% - Акцент6 9" xfId="842"/>
    <cellStyle name="20% - Акцент6 9 2" xfId="843"/>
    <cellStyle name="20% - Акцент6 9 3" xfId="844"/>
    <cellStyle name="20% - Акцент6 9_46EE.2011(v1.0)" xfId="845"/>
    <cellStyle name="40% - Accent1" xfId="846"/>
    <cellStyle name="40% - Accent1 2" xfId="847"/>
    <cellStyle name="40% - Accent1 3" xfId="848"/>
    <cellStyle name="40% - Accent1_46EE.2011(v1.0)" xfId="849"/>
    <cellStyle name="40% - Accent2" xfId="850"/>
    <cellStyle name="40% - Accent2 2" xfId="851"/>
    <cellStyle name="40% - Accent2 3" xfId="852"/>
    <cellStyle name="40% - Accent2_46EE.2011(v1.0)" xfId="853"/>
    <cellStyle name="40% - Accent3" xfId="854"/>
    <cellStyle name="40% - Accent3 2" xfId="855"/>
    <cellStyle name="40% - Accent3 3" xfId="856"/>
    <cellStyle name="40% - Accent3_46EE.2011(v1.0)" xfId="857"/>
    <cellStyle name="40% - Accent4" xfId="858"/>
    <cellStyle name="40% - Accent4 2" xfId="859"/>
    <cellStyle name="40% - Accent4 3" xfId="860"/>
    <cellStyle name="40% - Accent4_46EE.2011(v1.0)" xfId="861"/>
    <cellStyle name="40% - Accent5" xfId="862"/>
    <cellStyle name="40% - Accent5 2" xfId="863"/>
    <cellStyle name="40% - Accent5 3" xfId="864"/>
    <cellStyle name="40% - Accent5_46EE.2011(v1.0)" xfId="865"/>
    <cellStyle name="40% - Accent6" xfId="866"/>
    <cellStyle name="40% - Accent6 2" xfId="867"/>
    <cellStyle name="40% - Accent6 3" xfId="868"/>
    <cellStyle name="40% - Accent6_46EE.2011(v1.0)" xfId="869"/>
    <cellStyle name="40% - Акцент1 10" xfId="870"/>
    <cellStyle name="40% - Акцент1 2" xfId="871"/>
    <cellStyle name="40% - Акцент1 2 2" xfId="872"/>
    <cellStyle name="40% - Акцент1 2 3" xfId="873"/>
    <cellStyle name="40% - Акцент1 2_46EE.2011(v1.0)" xfId="874"/>
    <cellStyle name="40% - Акцент1 3" xfId="875"/>
    <cellStyle name="40% - Акцент1 3 2" xfId="876"/>
    <cellStyle name="40% - Акцент1 3 3" xfId="877"/>
    <cellStyle name="40% - Акцент1 3_46EE.2011(v1.0)" xfId="878"/>
    <cellStyle name="40% - Акцент1 4" xfId="879"/>
    <cellStyle name="40% - Акцент1 4 2" xfId="880"/>
    <cellStyle name="40% - Акцент1 4 3" xfId="881"/>
    <cellStyle name="40% - Акцент1 4_46EE.2011(v1.0)" xfId="882"/>
    <cellStyle name="40% - Акцент1 5" xfId="883"/>
    <cellStyle name="40% - Акцент1 5 2" xfId="884"/>
    <cellStyle name="40% - Акцент1 5 3" xfId="885"/>
    <cellStyle name="40% - Акцент1 5_46EE.2011(v1.0)" xfId="886"/>
    <cellStyle name="40% - Акцент1 6" xfId="887"/>
    <cellStyle name="40% - Акцент1 6 2" xfId="888"/>
    <cellStyle name="40% - Акцент1 6 3" xfId="889"/>
    <cellStyle name="40% - Акцент1 6_46EE.2011(v1.0)" xfId="890"/>
    <cellStyle name="40% - Акцент1 7" xfId="891"/>
    <cellStyle name="40% - Акцент1 7 2" xfId="892"/>
    <cellStyle name="40% - Акцент1 7 3" xfId="893"/>
    <cellStyle name="40% - Акцент1 7_46EE.2011(v1.0)" xfId="894"/>
    <cellStyle name="40% - Акцент1 8" xfId="895"/>
    <cellStyle name="40% - Акцент1 8 2" xfId="896"/>
    <cellStyle name="40% - Акцент1 8 3" xfId="897"/>
    <cellStyle name="40% - Акцент1 8_46EE.2011(v1.0)" xfId="898"/>
    <cellStyle name="40% - Акцент1 9" xfId="899"/>
    <cellStyle name="40% - Акцент1 9 2" xfId="900"/>
    <cellStyle name="40% - Акцент1 9 3" xfId="901"/>
    <cellStyle name="40% - Акцент1 9_46EE.2011(v1.0)" xfId="902"/>
    <cellStyle name="40% - Акцент2 10" xfId="903"/>
    <cellStyle name="40% - Акцент2 2" xfId="904"/>
    <cellStyle name="40% - Акцент2 2 2" xfId="905"/>
    <cellStyle name="40% - Акцент2 2 3" xfId="906"/>
    <cellStyle name="40% - Акцент2 2_46EE.2011(v1.0)" xfId="907"/>
    <cellStyle name="40% - Акцент2 3" xfId="908"/>
    <cellStyle name="40% - Акцент2 3 2" xfId="909"/>
    <cellStyle name="40% - Акцент2 3 3" xfId="910"/>
    <cellStyle name="40% - Акцент2 3_46EE.2011(v1.0)" xfId="911"/>
    <cellStyle name="40% - Акцент2 4" xfId="912"/>
    <cellStyle name="40% - Акцент2 4 2" xfId="913"/>
    <cellStyle name="40% - Акцент2 4 3" xfId="914"/>
    <cellStyle name="40% - Акцент2 4_46EE.2011(v1.0)" xfId="915"/>
    <cellStyle name="40% - Акцент2 5" xfId="916"/>
    <cellStyle name="40% - Акцент2 5 2" xfId="917"/>
    <cellStyle name="40% - Акцент2 5 3" xfId="918"/>
    <cellStyle name="40% - Акцент2 5_46EE.2011(v1.0)" xfId="919"/>
    <cellStyle name="40% - Акцент2 6" xfId="920"/>
    <cellStyle name="40% - Акцент2 6 2" xfId="921"/>
    <cellStyle name="40% - Акцент2 6 3" xfId="922"/>
    <cellStyle name="40% - Акцент2 6_46EE.2011(v1.0)" xfId="923"/>
    <cellStyle name="40% - Акцент2 7" xfId="924"/>
    <cellStyle name="40% - Акцент2 7 2" xfId="925"/>
    <cellStyle name="40% - Акцент2 7 3" xfId="926"/>
    <cellStyle name="40% - Акцент2 7_46EE.2011(v1.0)" xfId="927"/>
    <cellStyle name="40% - Акцент2 8" xfId="928"/>
    <cellStyle name="40% - Акцент2 8 2" xfId="929"/>
    <cellStyle name="40% - Акцент2 8 3" xfId="930"/>
    <cellStyle name="40% - Акцент2 8_46EE.2011(v1.0)" xfId="931"/>
    <cellStyle name="40% - Акцент2 9" xfId="932"/>
    <cellStyle name="40% - Акцент2 9 2" xfId="933"/>
    <cellStyle name="40% - Акцент2 9 3" xfId="934"/>
    <cellStyle name="40% - Акцент2 9_46EE.2011(v1.0)" xfId="935"/>
    <cellStyle name="40% - Акцент3 10" xfId="936"/>
    <cellStyle name="40% - Акцент3 2" xfId="937"/>
    <cellStyle name="40% - Акцент3 2 2" xfId="938"/>
    <cellStyle name="40% - Акцент3 2 3" xfId="939"/>
    <cellStyle name="40% - Акцент3 2_46EE.2011(v1.0)" xfId="940"/>
    <cellStyle name="40% - Акцент3 3" xfId="941"/>
    <cellStyle name="40% - Акцент3 3 2" xfId="942"/>
    <cellStyle name="40% - Акцент3 3 3" xfId="943"/>
    <cellStyle name="40% - Акцент3 3_46EE.2011(v1.0)" xfId="944"/>
    <cellStyle name="40% - Акцент3 4" xfId="945"/>
    <cellStyle name="40% - Акцент3 4 2" xfId="946"/>
    <cellStyle name="40% - Акцент3 4 3" xfId="947"/>
    <cellStyle name="40% - Акцент3 4_46EE.2011(v1.0)" xfId="948"/>
    <cellStyle name="40% - Акцент3 5" xfId="949"/>
    <cellStyle name="40% - Акцент3 5 2" xfId="950"/>
    <cellStyle name="40% - Акцент3 5 3" xfId="951"/>
    <cellStyle name="40% - Акцент3 5_46EE.2011(v1.0)" xfId="952"/>
    <cellStyle name="40% - Акцент3 6" xfId="953"/>
    <cellStyle name="40% - Акцент3 6 2" xfId="954"/>
    <cellStyle name="40% - Акцент3 6 3" xfId="955"/>
    <cellStyle name="40% - Акцент3 6_46EE.2011(v1.0)" xfId="956"/>
    <cellStyle name="40% - Акцент3 7" xfId="957"/>
    <cellStyle name="40% - Акцент3 7 2" xfId="958"/>
    <cellStyle name="40% - Акцент3 7 3" xfId="959"/>
    <cellStyle name="40% - Акцент3 7_46EE.2011(v1.0)" xfId="960"/>
    <cellStyle name="40% - Акцент3 8" xfId="961"/>
    <cellStyle name="40% - Акцент3 8 2" xfId="962"/>
    <cellStyle name="40% - Акцент3 8 3" xfId="963"/>
    <cellStyle name="40% - Акцент3 8_46EE.2011(v1.0)" xfId="964"/>
    <cellStyle name="40% - Акцент3 9" xfId="965"/>
    <cellStyle name="40% - Акцент3 9 2" xfId="966"/>
    <cellStyle name="40% - Акцент3 9 3" xfId="967"/>
    <cellStyle name="40% - Акцент3 9_46EE.2011(v1.0)" xfId="968"/>
    <cellStyle name="40% - Акцент4 10" xfId="969"/>
    <cellStyle name="40% - Акцент4 2" xfId="970"/>
    <cellStyle name="40% - Акцент4 2 2" xfId="971"/>
    <cellStyle name="40% - Акцент4 2 3" xfId="972"/>
    <cellStyle name="40% - Акцент4 2_46EE.2011(v1.0)" xfId="973"/>
    <cellStyle name="40% - Акцент4 3" xfId="974"/>
    <cellStyle name="40% - Акцент4 3 2" xfId="975"/>
    <cellStyle name="40% - Акцент4 3 3" xfId="976"/>
    <cellStyle name="40% - Акцент4 3_46EE.2011(v1.0)" xfId="977"/>
    <cellStyle name="40% - Акцент4 4" xfId="978"/>
    <cellStyle name="40% - Акцент4 4 2" xfId="979"/>
    <cellStyle name="40% - Акцент4 4 3" xfId="980"/>
    <cellStyle name="40% - Акцент4 4_46EE.2011(v1.0)" xfId="981"/>
    <cellStyle name="40% - Акцент4 5" xfId="982"/>
    <cellStyle name="40% - Акцент4 5 2" xfId="983"/>
    <cellStyle name="40% - Акцент4 5 3" xfId="984"/>
    <cellStyle name="40% - Акцент4 5_46EE.2011(v1.0)" xfId="985"/>
    <cellStyle name="40% - Акцент4 6" xfId="986"/>
    <cellStyle name="40% - Акцент4 6 2" xfId="987"/>
    <cellStyle name="40% - Акцент4 6 3" xfId="988"/>
    <cellStyle name="40% - Акцент4 6_46EE.2011(v1.0)" xfId="989"/>
    <cellStyle name="40% - Акцент4 7" xfId="990"/>
    <cellStyle name="40% - Акцент4 7 2" xfId="991"/>
    <cellStyle name="40% - Акцент4 7 3" xfId="992"/>
    <cellStyle name="40% - Акцент4 7_46EE.2011(v1.0)" xfId="993"/>
    <cellStyle name="40% - Акцент4 8" xfId="994"/>
    <cellStyle name="40% - Акцент4 8 2" xfId="995"/>
    <cellStyle name="40% - Акцент4 8 3" xfId="996"/>
    <cellStyle name="40% - Акцент4 8_46EE.2011(v1.0)" xfId="997"/>
    <cellStyle name="40% - Акцент4 9" xfId="998"/>
    <cellStyle name="40% - Акцент4 9 2" xfId="999"/>
    <cellStyle name="40% - Акцент4 9 3" xfId="1000"/>
    <cellStyle name="40% - Акцент4 9_46EE.2011(v1.0)" xfId="1001"/>
    <cellStyle name="40% - Акцент5 10" xfId="1002"/>
    <cellStyle name="40% - Акцент5 2" xfId="1003"/>
    <cellStyle name="40% - Акцент5 2 2" xfId="1004"/>
    <cellStyle name="40% - Акцент5 2 3" xfId="1005"/>
    <cellStyle name="40% - Акцент5 2_46EE.2011(v1.0)" xfId="1006"/>
    <cellStyle name="40% - Акцент5 3" xfId="1007"/>
    <cellStyle name="40% - Акцент5 3 2" xfId="1008"/>
    <cellStyle name="40% - Акцент5 3 3" xfId="1009"/>
    <cellStyle name="40% - Акцент5 3_46EE.2011(v1.0)" xfId="1010"/>
    <cellStyle name="40% - Акцент5 4" xfId="1011"/>
    <cellStyle name="40% - Акцент5 4 2" xfId="1012"/>
    <cellStyle name="40% - Акцент5 4 3" xfId="1013"/>
    <cellStyle name="40% - Акцент5 4_46EE.2011(v1.0)" xfId="1014"/>
    <cellStyle name="40% - Акцент5 5" xfId="1015"/>
    <cellStyle name="40% - Акцент5 5 2" xfId="1016"/>
    <cellStyle name="40% - Акцент5 5 3" xfId="1017"/>
    <cellStyle name="40% - Акцент5 5_46EE.2011(v1.0)" xfId="1018"/>
    <cellStyle name="40% - Акцент5 6" xfId="1019"/>
    <cellStyle name="40% - Акцент5 6 2" xfId="1020"/>
    <cellStyle name="40% - Акцент5 6 3" xfId="1021"/>
    <cellStyle name="40% - Акцент5 6_46EE.2011(v1.0)" xfId="1022"/>
    <cellStyle name="40% - Акцент5 7" xfId="1023"/>
    <cellStyle name="40% - Акцент5 7 2" xfId="1024"/>
    <cellStyle name="40% - Акцент5 7 3" xfId="1025"/>
    <cellStyle name="40% - Акцент5 7_46EE.2011(v1.0)" xfId="1026"/>
    <cellStyle name="40% - Акцент5 8" xfId="1027"/>
    <cellStyle name="40% - Акцент5 8 2" xfId="1028"/>
    <cellStyle name="40% - Акцент5 8 3" xfId="1029"/>
    <cellStyle name="40% - Акцент5 8_46EE.2011(v1.0)" xfId="1030"/>
    <cellStyle name="40% - Акцент5 9" xfId="1031"/>
    <cellStyle name="40% - Акцент5 9 2" xfId="1032"/>
    <cellStyle name="40% - Акцент5 9 3" xfId="1033"/>
    <cellStyle name="40% - Акцент5 9_46EE.2011(v1.0)" xfId="1034"/>
    <cellStyle name="40% - Акцент6 10" xfId="1035"/>
    <cellStyle name="40% - Акцент6 2" xfId="1036"/>
    <cellStyle name="40% - Акцент6 2 2" xfId="1037"/>
    <cellStyle name="40% - Акцент6 2 3" xfId="1038"/>
    <cellStyle name="40% - Акцент6 2_46EE.2011(v1.0)" xfId="1039"/>
    <cellStyle name="40% - Акцент6 3" xfId="1040"/>
    <cellStyle name="40% - Акцент6 3 2" xfId="1041"/>
    <cellStyle name="40% - Акцент6 3 3" xfId="1042"/>
    <cellStyle name="40% - Акцент6 3_46EE.2011(v1.0)" xfId="1043"/>
    <cellStyle name="40% - Акцент6 4" xfId="1044"/>
    <cellStyle name="40% - Акцент6 4 2" xfId="1045"/>
    <cellStyle name="40% - Акцент6 4 3" xfId="1046"/>
    <cellStyle name="40% - Акцент6 4_46EE.2011(v1.0)" xfId="1047"/>
    <cellStyle name="40% - Акцент6 5" xfId="1048"/>
    <cellStyle name="40% - Акцент6 5 2" xfId="1049"/>
    <cellStyle name="40% - Акцент6 5 3" xfId="1050"/>
    <cellStyle name="40% - Акцент6 5_46EE.2011(v1.0)" xfId="1051"/>
    <cellStyle name="40% - Акцент6 6" xfId="1052"/>
    <cellStyle name="40% - Акцент6 6 2" xfId="1053"/>
    <cellStyle name="40% - Акцент6 6 3" xfId="1054"/>
    <cellStyle name="40% - Акцент6 6_46EE.2011(v1.0)" xfId="1055"/>
    <cellStyle name="40% - Акцент6 7" xfId="1056"/>
    <cellStyle name="40% - Акцент6 7 2" xfId="1057"/>
    <cellStyle name="40% - Акцент6 7 3" xfId="1058"/>
    <cellStyle name="40% - Акцент6 7_46EE.2011(v1.0)" xfId="1059"/>
    <cellStyle name="40% - Акцент6 8" xfId="1060"/>
    <cellStyle name="40% - Акцент6 8 2" xfId="1061"/>
    <cellStyle name="40% - Акцент6 8 3" xfId="1062"/>
    <cellStyle name="40% - Акцент6 8_46EE.2011(v1.0)" xfId="1063"/>
    <cellStyle name="40% - Акцент6 9" xfId="1064"/>
    <cellStyle name="40% - Акцент6 9 2" xfId="1065"/>
    <cellStyle name="40% - Акцент6 9 3" xfId="1066"/>
    <cellStyle name="40% - Акцент6 9_46EE.2011(v1.0)" xfId="1067"/>
    <cellStyle name="60% - Accent1" xfId="1068"/>
    <cellStyle name="60% - Accent2" xfId="1069"/>
    <cellStyle name="60% - Accent3" xfId="1070"/>
    <cellStyle name="60% - Accent4" xfId="1071"/>
    <cellStyle name="60% - Accent5" xfId="1072"/>
    <cellStyle name="60% - Accent6" xfId="1073"/>
    <cellStyle name="60% - Акцент1 10" xfId="1074"/>
    <cellStyle name="60% - Акцент1 2" xfId="1075"/>
    <cellStyle name="60% - Акцент1 2 2" xfId="1076"/>
    <cellStyle name="60% - Акцент1 3" xfId="1077"/>
    <cellStyle name="60% - Акцент1 3 2" xfId="1078"/>
    <cellStyle name="60% - Акцент1 4" xfId="1079"/>
    <cellStyle name="60% - Акцент1 4 2" xfId="1080"/>
    <cellStyle name="60% - Акцент1 5" xfId="1081"/>
    <cellStyle name="60% - Акцент1 5 2" xfId="1082"/>
    <cellStyle name="60% - Акцент1 6" xfId="1083"/>
    <cellStyle name="60% - Акцент1 6 2" xfId="1084"/>
    <cellStyle name="60% - Акцент1 7" xfId="1085"/>
    <cellStyle name="60% - Акцент1 7 2" xfId="1086"/>
    <cellStyle name="60% - Акцент1 8" xfId="1087"/>
    <cellStyle name="60% - Акцент1 8 2" xfId="1088"/>
    <cellStyle name="60% - Акцент1 9" xfId="1089"/>
    <cellStyle name="60% - Акцент1 9 2" xfId="1090"/>
    <cellStyle name="60% - Акцент2 10" xfId="1091"/>
    <cellStyle name="60% - Акцент2 2" xfId="1092"/>
    <cellStyle name="60% - Акцент2 2 2" xfId="1093"/>
    <cellStyle name="60% - Акцент2 3" xfId="1094"/>
    <cellStyle name="60% - Акцент2 3 2" xfId="1095"/>
    <cellStyle name="60% - Акцент2 4" xfId="1096"/>
    <cellStyle name="60% - Акцент2 4 2" xfId="1097"/>
    <cellStyle name="60% - Акцент2 5" xfId="1098"/>
    <cellStyle name="60% - Акцент2 5 2" xfId="1099"/>
    <cellStyle name="60% - Акцент2 6" xfId="1100"/>
    <cellStyle name="60% - Акцент2 6 2" xfId="1101"/>
    <cellStyle name="60% - Акцент2 7" xfId="1102"/>
    <cellStyle name="60% - Акцент2 7 2" xfId="1103"/>
    <cellStyle name="60% - Акцент2 8" xfId="1104"/>
    <cellStyle name="60% - Акцент2 8 2" xfId="1105"/>
    <cellStyle name="60% - Акцент2 9" xfId="1106"/>
    <cellStyle name="60% - Акцент2 9 2" xfId="1107"/>
    <cellStyle name="60% - Акцент3 10" xfId="1108"/>
    <cellStyle name="60% - Акцент3 2" xfId="1109"/>
    <cellStyle name="60% - Акцент3 2 2" xfId="1110"/>
    <cellStyle name="60% - Акцент3 3" xfId="1111"/>
    <cellStyle name="60% - Акцент3 3 2" xfId="1112"/>
    <cellStyle name="60% - Акцент3 4" xfId="1113"/>
    <cellStyle name="60% - Акцент3 4 2" xfId="1114"/>
    <cellStyle name="60% - Акцент3 5" xfId="1115"/>
    <cellStyle name="60% - Акцент3 5 2" xfId="1116"/>
    <cellStyle name="60% - Акцент3 6" xfId="1117"/>
    <cellStyle name="60% - Акцент3 6 2" xfId="1118"/>
    <cellStyle name="60% - Акцент3 7" xfId="1119"/>
    <cellStyle name="60% - Акцент3 7 2" xfId="1120"/>
    <cellStyle name="60% - Акцент3 8" xfId="1121"/>
    <cellStyle name="60% - Акцент3 8 2" xfId="1122"/>
    <cellStyle name="60% - Акцент3 9" xfId="1123"/>
    <cellStyle name="60% - Акцент3 9 2" xfId="1124"/>
    <cellStyle name="60% - Акцент4 10" xfId="1125"/>
    <cellStyle name="60% - Акцент4 2" xfId="1126"/>
    <cellStyle name="60% - Акцент4 2 2" xfId="1127"/>
    <cellStyle name="60% - Акцент4 3" xfId="1128"/>
    <cellStyle name="60% - Акцент4 3 2" xfId="1129"/>
    <cellStyle name="60% - Акцент4 4" xfId="1130"/>
    <cellStyle name="60% - Акцент4 4 2" xfId="1131"/>
    <cellStyle name="60% - Акцент4 5" xfId="1132"/>
    <cellStyle name="60% - Акцент4 5 2" xfId="1133"/>
    <cellStyle name="60% - Акцент4 6" xfId="1134"/>
    <cellStyle name="60% - Акцент4 6 2" xfId="1135"/>
    <cellStyle name="60% - Акцент4 7" xfId="1136"/>
    <cellStyle name="60% - Акцент4 7 2" xfId="1137"/>
    <cellStyle name="60% - Акцент4 8" xfId="1138"/>
    <cellStyle name="60% - Акцент4 8 2" xfId="1139"/>
    <cellStyle name="60% - Акцент4 9" xfId="1140"/>
    <cellStyle name="60% - Акцент4 9 2" xfId="1141"/>
    <cellStyle name="60% - Акцент5 10" xfId="1142"/>
    <cellStyle name="60% - Акцент5 2" xfId="1143"/>
    <cellStyle name="60% - Акцент5 2 2" xfId="1144"/>
    <cellStyle name="60% - Акцент5 3" xfId="1145"/>
    <cellStyle name="60% - Акцент5 3 2" xfId="1146"/>
    <cellStyle name="60% - Акцент5 4" xfId="1147"/>
    <cellStyle name="60% - Акцент5 4 2" xfId="1148"/>
    <cellStyle name="60% - Акцент5 5" xfId="1149"/>
    <cellStyle name="60% - Акцент5 5 2" xfId="1150"/>
    <cellStyle name="60% - Акцент5 6" xfId="1151"/>
    <cellStyle name="60% - Акцент5 6 2" xfId="1152"/>
    <cellStyle name="60% - Акцент5 7" xfId="1153"/>
    <cellStyle name="60% - Акцент5 7 2" xfId="1154"/>
    <cellStyle name="60% - Акцент5 8" xfId="1155"/>
    <cellStyle name="60% - Акцент5 8 2" xfId="1156"/>
    <cellStyle name="60% - Акцент5 9" xfId="1157"/>
    <cellStyle name="60% - Акцент5 9 2" xfId="1158"/>
    <cellStyle name="60% - Акцент6 10" xfId="1159"/>
    <cellStyle name="60% - Акцент6 2" xfId="1160"/>
    <cellStyle name="60% - Акцент6 2 2" xfId="1161"/>
    <cellStyle name="60% - Акцент6 3" xfId="1162"/>
    <cellStyle name="60% - Акцент6 3 2" xfId="1163"/>
    <cellStyle name="60% - Акцент6 4" xfId="1164"/>
    <cellStyle name="60% - Акцент6 4 2" xfId="1165"/>
    <cellStyle name="60% - Акцент6 5" xfId="1166"/>
    <cellStyle name="60% - Акцент6 5 2" xfId="1167"/>
    <cellStyle name="60% - Акцент6 6" xfId="1168"/>
    <cellStyle name="60% - Акцент6 6 2" xfId="1169"/>
    <cellStyle name="60% - Акцент6 7" xfId="1170"/>
    <cellStyle name="60% - Акцент6 7 2" xfId="1171"/>
    <cellStyle name="60% - Акцент6 8" xfId="1172"/>
    <cellStyle name="60% - Акцент6 8 2" xfId="1173"/>
    <cellStyle name="60% - Акцент6 9" xfId="1174"/>
    <cellStyle name="60% - Акцент6 9 2" xfId="1175"/>
    <cellStyle name="Accent1" xfId="1176"/>
    <cellStyle name="Accent2" xfId="1177"/>
    <cellStyle name="Accent3" xfId="1178"/>
    <cellStyle name="Accent4" xfId="1179"/>
    <cellStyle name="Accent5" xfId="1180"/>
    <cellStyle name="Accent6" xfId="1181"/>
    <cellStyle name="Ăčďĺđńńűëęŕ" xfId="1182"/>
    <cellStyle name="AFE" xfId="1183"/>
    <cellStyle name="Áĺççŕůčňíűé" xfId="1184"/>
    <cellStyle name="Äĺíĺćíűé [0]_(ňŕá 3č)" xfId="1185"/>
    <cellStyle name="Äĺíĺćíűé_(ňŕá 3č)" xfId="1186"/>
    <cellStyle name="Bad" xfId="1187"/>
    <cellStyle name="Blue" xfId="1188"/>
    <cellStyle name="Body_$Dollars" xfId="1189"/>
    <cellStyle name="Calculation" xfId="1190"/>
    <cellStyle name="Check Cell" xfId="1191"/>
    <cellStyle name="Chek" xfId="1192"/>
    <cellStyle name="Comma [0]_Adjusted FS 1299" xfId="1193"/>
    <cellStyle name="Comma 0" xfId="1194"/>
    <cellStyle name="Comma 0*" xfId="1195"/>
    <cellStyle name="Comma 2" xfId="1196"/>
    <cellStyle name="Comma 3*" xfId="1197"/>
    <cellStyle name="Comma_Adjusted FS 1299" xfId="1198"/>
    <cellStyle name="Comma0" xfId="1199"/>
    <cellStyle name="Çŕůčňíűé" xfId="1200"/>
    <cellStyle name="Currency [0]" xfId="1201"/>
    <cellStyle name="Currency [0] 2" xfId="1202"/>
    <cellStyle name="Currency [0] 2 10" xfId="1203"/>
    <cellStyle name="Currency [0] 2 11" xfId="1204"/>
    <cellStyle name="Currency [0] 2 2" xfId="1205"/>
    <cellStyle name="Currency [0] 2 2 2" xfId="1206"/>
    <cellStyle name="Currency [0] 2 2 3" xfId="1207"/>
    <cellStyle name="Currency [0] 2 2 4" xfId="1208"/>
    <cellStyle name="Currency [0] 2 3" xfId="1209"/>
    <cellStyle name="Currency [0] 2 3 2" xfId="1210"/>
    <cellStyle name="Currency [0] 2 3 3" xfId="1211"/>
    <cellStyle name="Currency [0] 2 3 4" xfId="1212"/>
    <cellStyle name="Currency [0] 2 4" xfId="1213"/>
    <cellStyle name="Currency [0] 2 4 2" xfId="1214"/>
    <cellStyle name="Currency [0] 2 4 3" xfId="1215"/>
    <cellStyle name="Currency [0] 2 4 4" xfId="1216"/>
    <cellStyle name="Currency [0] 2 5" xfId="1217"/>
    <cellStyle name="Currency [0] 2 5 2" xfId="1218"/>
    <cellStyle name="Currency [0] 2 5 3" xfId="1219"/>
    <cellStyle name="Currency [0] 2 5 4" xfId="1220"/>
    <cellStyle name="Currency [0] 2 6" xfId="1221"/>
    <cellStyle name="Currency [0] 2 6 2" xfId="1222"/>
    <cellStyle name="Currency [0] 2 6 3" xfId="1223"/>
    <cellStyle name="Currency [0] 2 6 4" xfId="1224"/>
    <cellStyle name="Currency [0] 2 7" xfId="1225"/>
    <cellStyle name="Currency [0] 2 7 2" xfId="1226"/>
    <cellStyle name="Currency [0] 2 7 3" xfId="1227"/>
    <cellStyle name="Currency [0] 2 7 4" xfId="1228"/>
    <cellStyle name="Currency [0] 2 8" xfId="1229"/>
    <cellStyle name="Currency [0] 2 8 2" xfId="1230"/>
    <cellStyle name="Currency [0] 2 8 3" xfId="1231"/>
    <cellStyle name="Currency [0] 2 8 4" xfId="1232"/>
    <cellStyle name="Currency [0] 2 9" xfId="1233"/>
    <cellStyle name="Currency [0] 3" xfId="1234"/>
    <cellStyle name="Currency [0] 3 10" xfId="1235"/>
    <cellStyle name="Currency [0] 3 11" xfId="1236"/>
    <cellStyle name="Currency [0] 3 2" xfId="1237"/>
    <cellStyle name="Currency [0] 3 2 2" xfId="1238"/>
    <cellStyle name="Currency [0] 3 2 3" xfId="1239"/>
    <cellStyle name="Currency [0] 3 2 4" xfId="1240"/>
    <cellStyle name="Currency [0] 3 3" xfId="1241"/>
    <cellStyle name="Currency [0] 3 3 2" xfId="1242"/>
    <cellStyle name="Currency [0] 3 3 3" xfId="1243"/>
    <cellStyle name="Currency [0] 3 3 4" xfId="1244"/>
    <cellStyle name="Currency [0] 3 4" xfId="1245"/>
    <cellStyle name="Currency [0] 3 4 2" xfId="1246"/>
    <cellStyle name="Currency [0] 3 4 3" xfId="1247"/>
    <cellStyle name="Currency [0] 3 4 4" xfId="1248"/>
    <cellStyle name="Currency [0] 3 5" xfId="1249"/>
    <cellStyle name="Currency [0] 3 5 2" xfId="1250"/>
    <cellStyle name="Currency [0] 3 5 3" xfId="1251"/>
    <cellStyle name="Currency [0] 3 5 4" xfId="1252"/>
    <cellStyle name="Currency [0] 3 6" xfId="1253"/>
    <cellStyle name="Currency [0] 3 6 2" xfId="1254"/>
    <cellStyle name="Currency [0] 3 6 3" xfId="1255"/>
    <cellStyle name="Currency [0] 3 6 4" xfId="1256"/>
    <cellStyle name="Currency [0] 3 7" xfId="1257"/>
    <cellStyle name="Currency [0] 3 7 2" xfId="1258"/>
    <cellStyle name="Currency [0] 3 7 3" xfId="1259"/>
    <cellStyle name="Currency [0] 3 7 4" xfId="1260"/>
    <cellStyle name="Currency [0] 3 8" xfId="1261"/>
    <cellStyle name="Currency [0] 3 8 2" xfId="1262"/>
    <cellStyle name="Currency [0] 3 8 3" xfId="1263"/>
    <cellStyle name="Currency [0] 3 8 4" xfId="1264"/>
    <cellStyle name="Currency [0] 3 9" xfId="1265"/>
    <cellStyle name="Currency [0] 4" xfId="1266"/>
    <cellStyle name="Currency [0] 4 10" xfId="1267"/>
    <cellStyle name="Currency [0] 4 11" xfId="1268"/>
    <cellStyle name="Currency [0] 4 2" xfId="1269"/>
    <cellStyle name="Currency [0] 4 2 2" xfId="1270"/>
    <cellStyle name="Currency [0] 4 2 3" xfId="1271"/>
    <cellStyle name="Currency [0] 4 2 4" xfId="1272"/>
    <cellStyle name="Currency [0] 4 3" xfId="1273"/>
    <cellStyle name="Currency [0] 4 3 2" xfId="1274"/>
    <cellStyle name="Currency [0] 4 3 3" xfId="1275"/>
    <cellStyle name="Currency [0] 4 3 4" xfId="1276"/>
    <cellStyle name="Currency [0] 4 4" xfId="1277"/>
    <cellStyle name="Currency [0] 4 4 2" xfId="1278"/>
    <cellStyle name="Currency [0] 4 4 3" xfId="1279"/>
    <cellStyle name="Currency [0] 4 4 4" xfId="1280"/>
    <cellStyle name="Currency [0] 4 5" xfId="1281"/>
    <cellStyle name="Currency [0] 4 5 2" xfId="1282"/>
    <cellStyle name="Currency [0] 4 5 3" xfId="1283"/>
    <cellStyle name="Currency [0] 4 5 4" xfId="1284"/>
    <cellStyle name="Currency [0] 4 6" xfId="1285"/>
    <cellStyle name="Currency [0] 4 6 2" xfId="1286"/>
    <cellStyle name="Currency [0] 4 6 3" xfId="1287"/>
    <cellStyle name="Currency [0] 4 6 4" xfId="1288"/>
    <cellStyle name="Currency [0] 4 7" xfId="1289"/>
    <cellStyle name="Currency [0] 4 7 2" xfId="1290"/>
    <cellStyle name="Currency [0] 4 7 3" xfId="1291"/>
    <cellStyle name="Currency [0] 4 7 4" xfId="1292"/>
    <cellStyle name="Currency [0] 4 8" xfId="1293"/>
    <cellStyle name="Currency [0] 4 8 2" xfId="1294"/>
    <cellStyle name="Currency [0] 4 8 3" xfId="1295"/>
    <cellStyle name="Currency [0] 4 8 4" xfId="1296"/>
    <cellStyle name="Currency [0] 4 9" xfId="1297"/>
    <cellStyle name="Currency [0] 5" xfId="1298"/>
    <cellStyle name="Currency [0] 5 10" xfId="1299"/>
    <cellStyle name="Currency [0] 5 11" xfId="1300"/>
    <cellStyle name="Currency [0] 5 2" xfId="1301"/>
    <cellStyle name="Currency [0] 5 2 2" xfId="1302"/>
    <cellStyle name="Currency [0] 5 2 3" xfId="1303"/>
    <cellStyle name="Currency [0] 5 2 4" xfId="1304"/>
    <cellStyle name="Currency [0] 5 3" xfId="1305"/>
    <cellStyle name="Currency [0] 5 3 2" xfId="1306"/>
    <cellStyle name="Currency [0] 5 3 3" xfId="1307"/>
    <cellStyle name="Currency [0] 5 3 4" xfId="1308"/>
    <cellStyle name="Currency [0] 5 4" xfId="1309"/>
    <cellStyle name="Currency [0] 5 4 2" xfId="1310"/>
    <cellStyle name="Currency [0] 5 4 3" xfId="1311"/>
    <cellStyle name="Currency [0] 5 4 4" xfId="1312"/>
    <cellStyle name="Currency [0] 5 5" xfId="1313"/>
    <cellStyle name="Currency [0] 5 5 2" xfId="1314"/>
    <cellStyle name="Currency [0] 5 5 3" xfId="1315"/>
    <cellStyle name="Currency [0] 5 5 4" xfId="1316"/>
    <cellStyle name="Currency [0] 5 6" xfId="1317"/>
    <cellStyle name="Currency [0] 5 6 2" xfId="1318"/>
    <cellStyle name="Currency [0] 5 6 3" xfId="1319"/>
    <cellStyle name="Currency [0] 5 6 4" xfId="1320"/>
    <cellStyle name="Currency [0] 5 7" xfId="1321"/>
    <cellStyle name="Currency [0] 5 7 2" xfId="1322"/>
    <cellStyle name="Currency [0] 5 7 3" xfId="1323"/>
    <cellStyle name="Currency [0] 5 7 4" xfId="1324"/>
    <cellStyle name="Currency [0] 5 8" xfId="1325"/>
    <cellStyle name="Currency [0] 5 8 2" xfId="1326"/>
    <cellStyle name="Currency [0] 5 8 3" xfId="1327"/>
    <cellStyle name="Currency [0] 5 8 4" xfId="1328"/>
    <cellStyle name="Currency [0] 5 9" xfId="1329"/>
    <cellStyle name="Currency [0] 6" xfId="1330"/>
    <cellStyle name="Currency [0] 6 2" xfId="1331"/>
    <cellStyle name="Currency [0] 6 3" xfId="1332"/>
    <cellStyle name="Currency [0] 6 4" xfId="1333"/>
    <cellStyle name="Currency [0] 7" xfId="1334"/>
    <cellStyle name="Currency [0] 7 2" xfId="1335"/>
    <cellStyle name="Currency [0] 7 3" xfId="1336"/>
    <cellStyle name="Currency [0] 7 4" xfId="1337"/>
    <cellStyle name="Currency [0] 8" xfId="1338"/>
    <cellStyle name="Currency [0] 8 2" xfId="1339"/>
    <cellStyle name="Currency [0] 8 3" xfId="1340"/>
    <cellStyle name="Currency [0] 8 4" xfId="1341"/>
    <cellStyle name="Currency 0" xfId="1342"/>
    <cellStyle name="Currency 2" xfId="1343"/>
    <cellStyle name="Currency_06_9m" xfId="1344"/>
    <cellStyle name="Currency0" xfId="1345"/>
    <cellStyle name="Currency2" xfId="1346"/>
    <cellStyle name="Date" xfId="1347"/>
    <cellStyle name="Date Aligned" xfId="1348"/>
    <cellStyle name="Dates" xfId="1349"/>
    <cellStyle name="Dezimal [0]_NEGS" xfId="1350"/>
    <cellStyle name="Dezimal_NEGS" xfId="1351"/>
    <cellStyle name="Dotted Line" xfId="1352"/>
    <cellStyle name="E&amp;Y House" xfId="1353"/>
    <cellStyle name="E-mail" xfId="1354"/>
    <cellStyle name="E-mail 2" xfId="1355"/>
    <cellStyle name="E-mail_46EP.2011(v2.0)" xfId="1356"/>
    <cellStyle name="Euro" xfId="1357"/>
    <cellStyle name="Euro 2" xfId="1358"/>
    <cellStyle name="ew" xfId="1359"/>
    <cellStyle name="Explanatory Text" xfId="1360"/>
    <cellStyle name="F2" xfId="1361"/>
    <cellStyle name="F3" xfId="1362"/>
    <cellStyle name="F4" xfId="1363"/>
    <cellStyle name="F5" xfId="1364"/>
    <cellStyle name="F6" xfId="1365"/>
    <cellStyle name="F7" xfId="1366"/>
    <cellStyle name="F8" xfId="1367"/>
    <cellStyle name="Fixed" xfId="1368"/>
    <cellStyle name="fo]_x000d__x000a_UserName=Murat Zelef_x000d__x000a_UserCompany=Bumerang_x000d__x000a__x000d__x000a_[File Paths]_x000d__x000a_WorkingDirectory=C:\EQUIS\DLWIN_x000d__x000a_DownLoader=C" xfId="1369"/>
    <cellStyle name="Followed Hyperlink" xfId="1370"/>
    <cellStyle name="Footnote" xfId="1371"/>
    <cellStyle name="Good" xfId="1372"/>
    <cellStyle name="hard no" xfId="1373"/>
    <cellStyle name="Hard Percent" xfId="1374"/>
    <cellStyle name="hardno" xfId="1375"/>
    <cellStyle name="Header" xfId="1376"/>
    <cellStyle name="Heading" xfId="1377"/>
    <cellStyle name="Heading 1" xfId="1378"/>
    <cellStyle name="Heading 1 2" xfId="1379"/>
    <cellStyle name="Heading 2" xfId="1380"/>
    <cellStyle name="Heading 2 2" xfId="1381"/>
    <cellStyle name="Heading 3" xfId="1382"/>
    <cellStyle name="Heading 4" xfId="1383"/>
    <cellStyle name="Heading_GP.ITOG.4.78(v1.0) - для разделения" xfId="1384"/>
    <cellStyle name="Heading2" xfId="1385"/>
    <cellStyle name="Heading2 2" xfId="1386"/>
    <cellStyle name="Heading2_46EP.2011(v2.0)" xfId="1387"/>
    <cellStyle name="Hyperlink" xfId="1388"/>
    <cellStyle name="Îáű÷íűé__FES" xfId="1389"/>
    <cellStyle name="Îáû÷íûé_cogs" xfId="1390"/>
    <cellStyle name="Îňęđűâŕâřŕ˙ń˙ ăčďĺđńńűëęŕ" xfId="1391"/>
    <cellStyle name="Info" xfId="1392"/>
    <cellStyle name="Input" xfId="1393"/>
    <cellStyle name="InputCurrency" xfId="1394"/>
    <cellStyle name="InputCurrency2" xfId="1395"/>
    <cellStyle name="InputMultiple1" xfId="1396"/>
    <cellStyle name="InputPercent1" xfId="1397"/>
    <cellStyle name="Inputs" xfId="1398"/>
    <cellStyle name="Inputs (const)" xfId="1399"/>
    <cellStyle name="Inputs (const) 2" xfId="1400"/>
    <cellStyle name="Inputs (const)_46EP.2011(v2.0)" xfId="1401"/>
    <cellStyle name="Inputs 2" xfId="1402"/>
    <cellStyle name="Inputs 3" xfId="1403"/>
    <cellStyle name="Inputs Co" xfId="1404"/>
    <cellStyle name="Inputs_46EE.2011(v1.0)" xfId="1405"/>
    <cellStyle name="Linked Cell" xfId="1406"/>
    <cellStyle name="Millares [0]_RESULTS" xfId="1407"/>
    <cellStyle name="Millares_RESULTS" xfId="1408"/>
    <cellStyle name="Milliers [0]_RESULTS" xfId="1409"/>
    <cellStyle name="Milliers_RESULTS" xfId="1410"/>
    <cellStyle name="mnb" xfId="1411"/>
    <cellStyle name="Moneda [0]_RESULTS" xfId="1412"/>
    <cellStyle name="Moneda_RESULTS" xfId="1413"/>
    <cellStyle name="Monétaire [0]_RESULTS" xfId="1414"/>
    <cellStyle name="Monétaire_RESULTS" xfId="1415"/>
    <cellStyle name="Multiple" xfId="1416"/>
    <cellStyle name="Multiple1" xfId="1417"/>
    <cellStyle name="MultipleBelow" xfId="1418"/>
    <cellStyle name="namber" xfId="1419"/>
    <cellStyle name="Neutral" xfId="1420"/>
    <cellStyle name="Norma11l" xfId="1421"/>
    <cellStyle name="normal" xfId="1422"/>
    <cellStyle name="Normal - Style1" xfId="1423"/>
    <cellStyle name="normal 10" xfId="1424"/>
    <cellStyle name="normal 11" xfId="1425"/>
    <cellStyle name="normal 12" xfId="1426"/>
    <cellStyle name="normal 13" xfId="1427"/>
    <cellStyle name="normal 14" xfId="1428"/>
    <cellStyle name="normal 15" xfId="1429"/>
    <cellStyle name="normal 16" xfId="1430"/>
    <cellStyle name="normal 17" xfId="1431"/>
    <cellStyle name="normal 18" xfId="1432"/>
    <cellStyle name="normal 19" xfId="1433"/>
    <cellStyle name="Normal 2" xfId="1434"/>
    <cellStyle name="Normal 2 2" xfId="1435"/>
    <cellStyle name="Normal 2 3" xfId="1436"/>
    <cellStyle name="Normal 2 4" xfId="1437"/>
    <cellStyle name="Normal 2_Общехоз." xfId="1438"/>
    <cellStyle name="normal 20" xfId="1439"/>
    <cellStyle name="normal 21" xfId="1440"/>
    <cellStyle name="normal 22" xfId="1441"/>
    <cellStyle name="normal 23" xfId="1442"/>
    <cellStyle name="normal 24" xfId="1443"/>
    <cellStyle name="normal 25" xfId="1444"/>
    <cellStyle name="normal 26" xfId="1445"/>
    <cellStyle name="normal 3" xfId="1446"/>
    <cellStyle name="normal 4" xfId="1447"/>
    <cellStyle name="normal 5" xfId="1448"/>
    <cellStyle name="normal 6" xfId="1449"/>
    <cellStyle name="normal 7" xfId="1450"/>
    <cellStyle name="normal 8" xfId="1451"/>
    <cellStyle name="normal 9" xfId="1452"/>
    <cellStyle name="Normal." xfId="1453"/>
    <cellStyle name="Normal_06_9m" xfId="1454"/>
    <cellStyle name="Normal1" xfId="1455"/>
    <cellStyle name="Normal2" xfId="1456"/>
    <cellStyle name="NormalGB" xfId="1457"/>
    <cellStyle name="Normalny_24. 02. 97." xfId="1458"/>
    <cellStyle name="normбlnм_laroux" xfId="1459"/>
    <cellStyle name="Note" xfId="1460"/>
    <cellStyle name="number" xfId="1461"/>
    <cellStyle name="Ôčíŕíńîâűé [0]_(ňŕá 3č)" xfId="1462"/>
    <cellStyle name="Ôčíŕíńîâűé_(ňŕá 3č)" xfId="1463"/>
    <cellStyle name="Option" xfId="1464"/>
    <cellStyle name="Òûñÿ÷è [0]_cogs" xfId="1465"/>
    <cellStyle name="Òûñÿ÷è_cogs" xfId="1466"/>
    <cellStyle name="Output" xfId="1467"/>
    <cellStyle name="Page Number" xfId="1468"/>
    <cellStyle name="pb_page_heading_LS" xfId="1469"/>
    <cellStyle name="Percent_RS_Lianozovo-Samara_9m01" xfId="1470"/>
    <cellStyle name="Percent1" xfId="1471"/>
    <cellStyle name="Piug" xfId="1472"/>
    <cellStyle name="Plug" xfId="1473"/>
    <cellStyle name="Price_Body" xfId="1474"/>
    <cellStyle name="prochrek" xfId="1475"/>
    <cellStyle name="Protected" xfId="1476"/>
    <cellStyle name="Salomon Logo" xfId="1477"/>
    <cellStyle name="SAPBEXaggData" xfId="1478"/>
    <cellStyle name="SAPBEXaggDataEmph" xfId="1479"/>
    <cellStyle name="SAPBEXaggItem" xfId="1480"/>
    <cellStyle name="SAPBEXaggItemX" xfId="1481"/>
    <cellStyle name="SAPBEXchaText" xfId="1482"/>
    <cellStyle name="SAPBEXexcBad7" xfId="1483"/>
    <cellStyle name="SAPBEXexcBad8" xfId="1484"/>
    <cellStyle name="SAPBEXexcBad9" xfId="1485"/>
    <cellStyle name="SAPBEXexcCritical4" xfId="1486"/>
    <cellStyle name="SAPBEXexcCritical5" xfId="1487"/>
    <cellStyle name="SAPBEXexcCritical6" xfId="1488"/>
    <cellStyle name="SAPBEXexcGood1" xfId="1489"/>
    <cellStyle name="SAPBEXexcGood2" xfId="1490"/>
    <cellStyle name="SAPBEXexcGood3" xfId="1491"/>
    <cellStyle name="SAPBEXfilterDrill" xfId="1492"/>
    <cellStyle name="SAPBEXfilterItem" xfId="1493"/>
    <cellStyle name="SAPBEXfilterText" xfId="1494"/>
    <cellStyle name="SAPBEXformats" xfId="1495"/>
    <cellStyle name="SAPBEXheaderItem" xfId="1496"/>
    <cellStyle name="SAPBEXheaderText" xfId="1497"/>
    <cellStyle name="SAPBEXHLevel0" xfId="1498"/>
    <cellStyle name="SAPBEXHLevel0X" xfId="1499"/>
    <cellStyle name="SAPBEXHLevel1" xfId="1500"/>
    <cellStyle name="SAPBEXHLevel1X" xfId="1501"/>
    <cellStyle name="SAPBEXHLevel2" xfId="1502"/>
    <cellStyle name="SAPBEXHLevel2X" xfId="1503"/>
    <cellStyle name="SAPBEXHLevel3" xfId="1504"/>
    <cellStyle name="SAPBEXHLevel3X" xfId="1505"/>
    <cellStyle name="SAPBEXinputData" xfId="1506"/>
    <cellStyle name="SAPBEXinputData 2" xfId="1507"/>
    <cellStyle name="SAPBEXinputData 3" xfId="1508"/>
    <cellStyle name="SAPBEXinputData 4" xfId="1509"/>
    <cellStyle name="SAPBEXresData" xfId="1510"/>
    <cellStyle name="SAPBEXresDataEmph" xfId="1511"/>
    <cellStyle name="SAPBEXresItem" xfId="1512"/>
    <cellStyle name="SAPBEXresItemX" xfId="1513"/>
    <cellStyle name="SAPBEXstdData" xfId="1514"/>
    <cellStyle name="SAPBEXstdDataEmph" xfId="1515"/>
    <cellStyle name="SAPBEXstdItem" xfId="1516"/>
    <cellStyle name="SAPBEXstdItemX" xfId="1517"/>
    <cellStyle name="SAPBEXtitle" xfId="1518"/>
    <cellStyle name="SAPBEXundefined" xfId="1519"/>
    <cellStyle name="st1" xfId="1520"/>
    <cellStyle name="Standard_NEGS" xfId="1521"/>
    <cellStyle name="Style 1" xfId="1522"/>
    <cellStyle name="Table Head" xfId="1523"/>
    <cellStyle name="Table Head Aligned" xfId="1524"/>
    <cellStyle name="Table Head Blue" xfId="1525"/>
    <cellStyle name="Table Head Green" xfId="1526"/>
    <cellStyle name="Table Head_Val_Sum_Graph" xfId="1527"/>
    <cellStyle name="Table Heading" xfId="1528"/>
    <cellStyle name="Table Heading 2" xfId="1529"/>
    <cellStyle name="Table Heading_46EP.2011(v2.0)" xfId="1530"/>
    <cellStyle name="Table Text" xfId="1531"/>
    <cellStyle name="Table Title" xfId="1532"/>
    <cellStyle name="Table Units" xfId="1533"/>
    <cellStyle name="Table_Header" xfId="1534"/>
    <cellStyle name="Text" xfId="1535"/>
    <cellStyle name="Text 1" xfId="1536"/>
    <cellStyle name="Text Head" xfId="1537"/>
    <cellStyle name="Text Head 1" xfId="1538"/>
    <cellStyle name="Title" xfId="1539"/>
    <cellStyle name="Total" xfId="1540"/>
    <cellStyle name="Total 2" xfId="1541"/>
    <cellStyle name="TotalCurrency" xfId="1542"/>
    <cellStyle name="Underline_Single" xfId="1543"/>
    <cellStyle name="Unit" xfId="1544"/>
    <cellStyle name="Warning Text" xfId="1545"/>
    <cellStyle name="year" xfId="1546"/>
    <cellStyle name="Акцент1 10" xfId="1547"/>
    <cellStyle name="Акцент1 2" xfId="1548"/>
    <cellStyle name="Акцент1 2 2" xfId="1549"/>
    <cellStyle name="Акцент1 3" xfId="1550"/>
    <cellStyle name="Акцент1 3 2" xfId="1551"/>
    <cellStyle name="Акцент1 4" xfId="1552"/>
    <cellStyle name="Акцент1 4 2" xfId="1553"/>
    <cellStyle name="Акцент1 5" xfId="1554"/>
    <cellStyle name="Акцент1 5 2" xfId="1555"/>
    <cellStyle name="Акцент1 6" xfId="1556"/>
    <cellStyle name="Акцент1 6 2" xfId="1557"/>
    <cellStyle name="Акцент1 7" xfId="1558"/>
    <cellStyle name="Акцент1 7 2" xfId="1559"/>
    <cellStyle name="Акцент1 8" xfId="1560"/>
    <cellStyle name="Акцент1 8 2" xfId="1561"/>
    <cellStyle name="Акцент1 9" xfId="1562"/>
    <cellStyle name="Акцент1 9 2" xfId="1563"/>
    <cellStyle name="Акцент2 10" xfId="1564"/>
    <cellStyle name="Акцент2 2" xfId="1565"/>
    <cellStyle name="Акцент2 2 2" xfId="1566"/>
    <cellStyle name="Акцент2 3" xfId="1567"/>
    <cellStyle name="Акцент2 3 2" xfId="1568"/>
    <cellStyle name="Акцент2 4" xfId="1569"/>
    <cellStyle name="Акцент2 4 2" xfId="1570"/>
    <cellStyle name="Акцент2 5" xfId="1571"/>
    <cellStyle name="Акцент2 5 2" xfId="1572"/>
    <cellStyle name="Акцент2 6" xfId="1573"/>
    <cellStyle name="Акцент2 6 2" xfId="1574"/>
    <cellStyle name="Акцент2 7" xfId="1575"/>
    <cellStyle name="Акцент2 7 2" xfId="1576"/>
    <cellStyle name="Акцент2 8" xfId="1577"/>
    <cellStyle name="Акцент2 8 2" xfId="1578"/>
    <cellStyle name="Акцент2 9" xfId="1579"/>
    <cellStyle name="Акцент2 9 2" xfId="1580"/>
    <cellStyle name="Акцент3 10" xfId="1581"/>
    <cellStyle name="Акцент3 2" xfId="1582"/>
    <cellStyle name="Акцент3 2 2" xfId="1583"/>
    <cellStyle name="Акцент3 3" xfId="1584"/>
    <cellStyle name="Акцент3 3 2" xfId="1585"/>
    <cellStyle name="Акцент3 4" xfId="1586"/>
    <cellStyle name="Акцент3 4 2" xfId="1587"/>
    <cellStyle name="Акцент3 5" xfId="1588"/>
    <cellStyle name="Акцент3 5 2" xfId="1589"/>
    <cellStyle name="Акцент3 6" xfId="1590"/>
    <cellStyle name="Акцент3 6 2" xfId="1591"/>
    <cellStyle name="Акцент3 7" xfId="1592"/>
    <cellStyle name="Акцент3 7 2" xfId="1593"/>
    <cellStyle name="Акцент3 8" xfId="1594"/>
    <cellStyle name="Акцент3 8 2" xfId="1595"/>
    <cellStyle name="Акцент3 9" xfId="1596"/>
    <cellStyle name="Акцент3 9 2" xfId="1597"/>
    <cellStyle name="Акцент4 10" xfId="1598"/>
    <cellStyle name="Акцент4 2" xfId="1599"/>
    <cellStyle name="Акцент4 2 2" xfId="1600"/>
    <cellStyle name="Акцент4 3" xfId="1601"/>
    <cellStyle name="Акцент4 3 2" xfId="1602"/>
    <cellStyle name="Акцент4 4" xfId="1603"/>
    <cellStyle name="Акцент4 4 2" xfId="1604"/>
    <cellStyle name="Акцент4 5" xfId="1605"/>
    <cellStyle name="Акцент4 5 2" xfId="1606"/>
    <cellStyle name="Акцент4 6" xfId="1607"/>
    <cellStyle name="Акцент4 6 2" xfId="1608"/>
    <cellStyle name="Акцент4 7" xfId="1609"/>
    <cellStyle name="Акцент4 7 2" xfId="1610"/>
    <cellStyle name="Акцент4 8" xfId="1611"/>
    <cellStyle name="Акцент4 8 2" xfId="1612"/>
    <cellStyle name="Акцент4 9" xfId="1613"/>
    <cellStyle name="Акцент4 9 2" xfId="1614"/>
    <cellStyle name="Акцент5 10" xfId="1615"/>
    <cellStyle name="Акцент5 2" xfId="1616"/>
    <cellStyle name="Акцент5 2 2" xfId="1617"/>
    <cellStyle name="Акцент5 3" xfId="1618"/>
    <cellStyle name="Акцент5 3 2" xfId="1619"/>
    <cellStyle name="Акцент5 4" xfId="1620"/>
    <cellStyle name="Акцент5 4 2" xfId="1621"/>
    <cellStyle name="Акцент5 5" xfId="1622"/>
    <cellStyle name="Акцент5 5 2" xfId="1623"/>
    <cellStyle name="Акцент5 6" xfId="1624"/>
    <cellStyle name="Акцент5 6 2" xfId="1625"/>
    <cellStyle name="Акцент5 7" xfId="1626"/>
    <cellStyle name="Акцент5 7 2" xfId="1627"/>
    <cellStyle name="Акцент5 8" xfId="1628"/>
    <cellStyle name="Акцент5 8 2" xfId="1629"/>
    <cellStyle name="Акцент5 9" xfId="1630"/>
    <cellStyle name="Акцент5 9 2" xfId="1631"/>
    <cellStyle name="Акцент6 10" xfId="1632"/>
    <cellStyle name="Акцент6 2" xfId="1633"/>
    <cellStyle name="Акцент6 2 2" xfId="1634"/>
    <cellStyle name="Акцент6 3" xfId="1635"/>
    <cellStyle name="Акцент6 3 2" xfId="1636"/>
    <cellStyle name="Акцент6 4" xfId="1637"/>
    <cellStyle name="Акцент6 4 2" xfId="1638"/>
    <cellStyle name="Акцент6 5" xfId="1639"/>
    <cellStyle name="Акцент6 5 2" xfId="1640"/>
    <cellStyle name="Акцент6 6" xfId="1641"/>
    <cellStyle name="Акцент6 6 2" xfId="1642"/>
    <cellStyle name="Акцент6 7" xfId="1643"/>
    <cellStyle name="Акцент6 7 2" xfId="1644"/>
    <cellStyle name="Акцент6 8" xfId="1645"/>
    <cellStyle name="Акцент6 8 2" xfId="1646"/>
    <cellStyle name="Акцент6 9" xfId="1647"/>
    <cellStyle name="Акцент6 9 2" xfId="1648"/>
    <cellStyle name="Беззащитный" xfId="1649"/>
    <cellStyle name="Ввод  10" xfId="1650"/>
    <cellStyle name="Ввод  2" xfId="1651"/>
    <cellStyle name="Ввод  2 2" xfId="1652"/>
    <cellStyle name="Ввод  2_46EE.2011(v1.0)" xfId="1653"/>
    <cellStyle name="Ввод  3" xfId="1654"/>
    <cellStyle name="Ввод  3 2" xfId="1655"/>
    <cellStyle name="Ввод  3_46EE.2011(v1.0)" xfId="1656"/>
    <cellStyle name="Ввод  4" xfId="1657"/>
    <cellStyle name="Ввод  4 2" xfId="1658"/>
    <cellStyle name="Ввод  4_46EE.2011(v1.0)" xfId="1659"/>
    <cellStyle name="Ввод  5" xfId="1660"/>
    <cellStyle name="Ввод  5 2" xfId="1661"/>
    <cellStyle name="Ввод  5_46EE.2011(v1.0)" xfId="1662"/>
    <cellStyle name="Ввод  6" xfId="1663"/>
    <cellStyle name="Ввод  6 2" xfId="1664"/>
    <cellStyle name="Ввод  6_46EE.2011(v1.0)" xfId="1665"/>
    <cellStyle name="Ввод  7" xfId="1666"/>
    <cellStyle name="Ввод  7 2" xfId="1667"/>
    <cellStyle name="Ввод  7_46EE.2011(v1.0)" xfId="1668"/>
    <cellStyle name="Ввод  8" xfId="1669"/>
    <cellStyle name="Ввод  8 2" xfId="1670"/>
    <cellStyle name="Ввод  8_46EE.2011(v1.0)" xfId="1671"/>
    <cellStyle name="Ввод  9" xfId="1672"/>
    <cellStyle name="Ввод  9 2" xfId="1673"/>
    <cellStyle name="Ввод  9_46EE.2011(v1.0)" xfId="1674"/>
    <cellStyle name="Верт. заголовок" xfId="1675"/>
    <cellStyle name="Вес_продукта" xfId="1676"/>
    <cellStyle name="Вывод 10" xfId="1677"/>
    <cellStyle name="Вывод 2" xfId="1678"/>
    <cellStyle name="Вывод 2 2" xfId="1679"/>
    <cellStyle name="Вывод 2_46EE.2011(v1.0)" xfId="1680"/>
    <cellStyle name="Вывод 3" xfId="1681"/>
    <cellStyle name="Вывод 3 2" xfId="1682"/>
    <cellStyle name="Вывод 3_46EE.2011(v1.0)" xfId="1683"/>
    <cellStyle name="Вывод 4" xfId="1684"/>
    <cellStyle name="Вывод 4 2" xfId="1685"/>
    <cellStyle name="Вывод 4_46EE.2011(v1.0)" xfId="1686"/>
    <cellStyle name="Вывод 5" xfId="1687"/>
    <cellStyle name="Вывод 5 2" xfId="1688"/>
    <cellStyle name="Вывод 5_46EE.2011(v1.0)" xfId="1689"/>
    <cellStyle name="Вывод 6" xfId="1690"/>
    <cellStyle name="Вывод 6 2" xfId="1691"/>
    <cellStyle name="Вывод 6_46EE.2011(v1.0)" xfId="1692"/>
    <cellStyle name="Вывод 7" xfId="1693"/>
    <cellStyle name="Вывод 7 2" xfId="1694"/>
    <cellStyle name="Вывод 7_46EE.2011(v1.0)" xfId="1695"/>
    <cellStyle name="Вывод 8" xfId="1696"/>
    <cellStyle name="Вывод 8 2" xfId="1697"/>
    <cellStyle name="Вывод 8_46EE.2011(v1.0)" xfId="1698"/>
    <cellStyle name="Вывод 9" xfId="1699"/>
    <cellStyle name="Вывод 9 2" xfId="1700"/>
    <cellStyle name="Вывод 9_46EE.2011(v1.0)" xfId="1701"/>
    <cellStyle name="Вычисление 10" xfId="1702"/>
    <cellStyle name="Вычисление 2" xfId="1703"/>
    <cellStyle name="Вычисление 2 2" xfId="1704"/>
    <cellStyle name="Вычисление 2_46EE.2011(v1.0)" xfId="1705"/>
    <cellStyle name="Вычисление 3" xfId="1706"/>
    <cellStyle name="Вычисление 3 2" xfId="1707"/>
    <cellStyle name="Вычисление 3_46EE.2011(v1.0)" xfId="1708"/>
    <cellStyle name="Вычисление 4" xfId="1709"/>
    <cellStyle name="Вычисление 4 2" xfId="1710"/>
    <cellStyle name="Вычисление 4_46EE.2011(v1.0)" xfId="1711"/>
    <cellStyle name="Вычисление 5" xfId="1712"/>
    <cellStyle name="Вычисление 5 2" xfId="1713"/>
    <cellStyle name="Вычисление 5_46EE.2011(v1.0)" xfId="1714"/>
    <cellStyle name="Вычисление 6" xfId="1715"/>
    <cellStyle name="Вычисление 6 2" xfId="1716"/>
    <cellStyle name="Вычисление 6_46EE.2011(v1.0)" xfId="1717"/>
    <cellStyle name="Вычисление 7" xfId="1718"/>
    <cellStyle name="Вычисление 7 2" xfId="1719"/>
    <cellStyle name="Вычисление 7_46EE.2011(v1.0)" xfId="1720"/>
    <cellStyle name="Вычисление 8" xfId="1721"/>
    <cellStyle name="Вычисление 8 2" xfId="1722"/>
    <cellStyle name="Вычисление 8_46EE.2011(v1.0)" xfId="1723"/>
    <cellStyle name="Вычисление 9" xfId="1724"/>
    <cellStyle name="Вычисление 9 2" xfId="1725"/>
    <cellStyle name="Вычисление 9_46EE.2011(v1.0)" xfId="1726"/>
    <cellStyle name="Гиперссылка 2" xfId="1727"/>
    <cellStyle name="Гиперссылка 3" xfId="1728"/>
    <cellStyle name="Гиперссылка 4" xfId="1729"/>
    <cellStyle name="Гиперссылка 4 2" xfId="1730"/>
    <cellStyle name="Гиперссылка 5" xfId="1731"/>
    <cellStyle name="Группа" xfId="1732"/>
    <cellStyle name="Группа 0" xfId="1733"/>
    <cellStyle name="Группа 1" xfId="1734"/>
    <cellStyle name="Группа 2" xfId="1735"/>
    <cellStyle name="Группа 3" xfId="1736"/>
    <cellStyle name="Группа 4" xfId="1737"/>
    <cellStyle name="Группа 5" xfId="1738"/>
    <cellStyle name="Группа 6" xfId="1739"/>
    <cellStyle name="Группа 7" xfId="1740"/>
    <cellStyle name="Группа 8" xfId="1741"/>
    <cellStyle name="Группа_4DNS.UPDATE.EXAMPLE" xfId="1742"/>
    <cellStyle name="ДАТА" xfId="1743"/>
    <cellStyle name="ДАТА 2" xfId="1744"/>
    <cellStyle name="ДАТА 3" xfId="1745"/>
    <cellStyle name="ДАТА 4" xfId="1746"/>
    <cellStyle name="ДАТА 5" xfId="1747"/>
    <cellStyle name="ДАТА 6" xfId="1748"/>
    <cellStyle name="ДАТА 7" xfId="1749"/>
    <cellStyle name="ДАТА 8" xfId="1750"/>
    <cellStyle name="ДАТА 9" xfId="1751"/>
    <cellStyle name="ДАТА_1" xfId="1752"/>
    <cellStyle name="Денежный 2" xfId="1753"/>
    <cellStyle name="Денежный 2 2" xfId="1754"/>
    <cellStyle name="Денежный 2_INDEX.STATION.2012(v1.0)_" xfId="1755"/>
    <cellStyle name="Заголовок" xfId="1756"/>
    <cellStyle name="Заголовок 1 10" xfId="1757"/>
    <cellStyle name="Заголовок 1 2" xfId="1758"/>
    <cellStyle name="Заголовок 1 2 2" xfId="1759"/>
    <cellStyle name="Заголовок 1 2_46EE.2011(v1.0)" xfId="1760"/>
    <cellStyle name="Заголовок 1 3" xfId="1761"/>
    <cellStyle name="Заголовок 1 3 2" xfId="1762"/>
    <cellStyle name="Заголовок 1 3_46EE.2011(v1.0)" xfId="1763"/>
    <cellStyle name="Заголовок 1 4" xfId="1764"/>
    <cellStyle name="Заголовок 1 4 2" xfId="1765"/>
    <cellStyle name="Заголовок 1 4_46EE.2011(v1.0)" xfId="1766"/>
    <cellStyle name="Заголовок 1 5" xfId="1767"/>
    <cellStyle name="Заголовок 1 5 2" xfId="1768"/>
    <cellStyle name="Заголовок 1 5_46EE.2011(v1.0)" xfId="1769"/>
    <cellStyle name="Заголовок 1 6" xfId="1770"/>
    <cellStyle name="Заголовок 1 6 2" xfId="1771"/>
    <cellStyle name="Заголовок 1 6_46EE.2011(v1.0)" xfId="1772"/>
    <cellStyle name="Заголовок 1 7" xfId="1773"/>
    <cellStyle name="Заголовок 1 7 2" xfId="1774"/>
    <cellStyle name="Заголовок 1 7_46EE.2011(v1.0)" xfId="1775"/>
    <cellStyle name="Заголовок 1 8" xfId="1776"/>
    <cellStyle name="Заголовок 1 8 2" xfId="1777"/>
    <cellStyle name="Заголовок 1 8_46EE.2011(v1.0)" xfId="1778"/>
    <cellStyle name="Заголовок 1 9" xfId="1779"/>
    <cellStyle name="Заголовок 1 9 2" xfId="1780"/>
    <cellStyle name="Заголовок 1 9_46EE.2011(v1.0)" xfId="1781"/>
    <cellStyle name="Заголовок 2 10" xfId="1782"/>
    <cellStyle name="Заголовок 2 2" xfId="1783"/>
    <cellStyle name="Заголовок 2 2 2" xfId="1784"/>
    <cellStyle name="Заголовок 2 2_46EE.2011(v1.0)" xfId="1785"/>
    <cellStyle name="Заголовок 2 3" xfId="1786"/>
    <cellStyle name="Заголовок 2 3 2" xfId="1787"/>
    <cellStyle name="Заголовок 2 3_46EE.2011(v1.0)" xfId="1788"/>
    <cellStyle name="Заголовок 2 4" xfId="1789"/>
    <cellStyle name="Заголовок 2 4 2" xfId="1790"/>
    <cellStyle name="Заголовок 2 4_46EE.2011(v1.0)" xfId="1791"/>
    <cellStyle name="Заголовок 2 5" xfId="1792"/>
    <cellStyle name="Заголовок 2 5 2" xfId="1793"/>
    <cellStyle name="Заголовок 2 5_46EE.2011(v1.0)" xfId="1794"/>
    <cellStyle name="Заголовок 2 6" xfId="1795"/>
    <cellStyle name="Заголовок 2 6 2" xfId="1796"/>
    <cellStyle name="Заголовок 2 6_46EE.2011(v1.0)" xfId="1797"/>
    <cellStyle name="Заголовок 2 7" xfId="1798"/>
    <cellStyle name="Заголовок 2 7 2" xfId="1799"/>
    <cellStyle name="Заголовок 2 7_46EE.2011(v1.0)" xfId="1800"/>
    <cellStyle name="Заголовок 2 8" xfId="1801"/>
    <cellStyle name="Заголовок 2 8 2" xfId="1802"/>
    <cellStyle name="Заголовок 2 8_46EE.2011(v1.0)" xfId="1803"/>
    <cellStyle name="Заголовок 2 9" xfId="1804"/>
    <cellStyle name="Заголовок 2 9 2" xfId="1805"/>
    <cellStyle name="Заголовок 2 9_46EE.2011(v1.0)" xfId="1806"/>
    <cellStyle name="Заголовок 3 10" xfId="1807"/>
    <cellStyle name="Заголовок 3 2" xfId="1808"/>
    <cellStyle name="Заголовок 3 2 2" xfId="1809"/>
    <cellStyle name="Заголовок 3 2_46EE.2011(v1.0)" xfId="1810"/>
    <cellStyle name="Заголовок 3 3" xfId="1811"/>
    <cellStyle name="Заголовок 3 3 2" xfId="1812"/>
    <cellStyle name="Заголовок 3 3_46EE.2011(v1.0)" xfId="1813"/>
    <cellStyle name="Заголовок 3 4" xfId="1814"/>
    <cellStyle name="Заголовок 3 4 2" xfId="1815"/>
    <cellStyle name="Заголовок 3 4_46EE.2011(v1.0)" xfId="1816"/>
    <cellStyle name="Заголовок 3 5" xfId="1817"/>
    <cellStyle name="Заголовок 3 5 2" xfId="1818"/>
    <cellStyle name="Заголовок 3 5_46EE.2011(v1.0)" xfId="1819"/>
    <cellStyle name="Заголовок 3 6" xfId="1820"/>
    <cellStyle name="Заголовок 3 6 2" xfId="1821"/>
    <cellStyle name="Заголовок 3 6_46EE.2011(v1.0)" xfId="1822"/>
    <cellStyle name="Заголовок 3 7" xfId="1823"/>
    <cellStyle name="Заголовок 3 7 2" xfId="1824"/>
    <cellStyle name="Заголовок 3 7_46EE.2011(v1.0)" xfId="1825"/>
    <cellStyle name="Заголовок 3 8" xfId="1826"/>
    <cellStyle name="Заголовок 3 8 2" xfId="1827"/>
    <cellStyle name="Заголовок 3 8_46EE.2011(v1.0)" xfId="1828"/>
    <cellStyle name="Заголовок 3 9" xfId="1829"/>
    <cellStyle name="Заголовок 3 9 2" xfId="1830"/>
    <cellStyle name="Заголовок 3 9_46EE.2011(v1.0)" xfId="1831"/>
    <cellStyle name="Заголовок 4 10" xfId="1832"/>
    <cellStyle name="Заголовок 4 2" xfId="1833"/>
    <cellStyle name="Заголовок 4 2 2" xfId="1834"/>
    <cellStyle name="Заголовок 4 3" xfId="1835"/>
    <cellStyle name="Заголовок 4 3 2" xfId="1836"/>
    <cellStyle name="Заголовок 4 4" xfId="1837"/>
    <cellStyle name="Заголовок 4 4 2" xfId="1838"/>
    <cellStyle name="Заголовок 4 5" xfId="1839"/>
    <cellStyle name="Заголовок 4 5 2" xfId="1840"/>
    <cellStyle name="Заголовок 4 6" xfId="1841"/>
    <cellStyle name="Заголовок 4 6 2" xfId="1842"/>
    <cellStyle name="Заголовок 4 7" xfId="1843"/>
    <cellStyle name="Заголовок 4 7 2" xfId="1844"/>
    <cellStyle name="Заголовок 4 8" xfId="1845"/>
    <cellStyle name="Заголовок 4 8 2" xfId="1846"/>
    <cellStyle name="Заголовок 4 9" xfId="1847"/>
    <cellStyle name="Заголовок 4 9 2" xfId="1848"/>
    <cellStyle name="ЗАГОЛОВОК1" xfId="1849"/>
    <cellStyle name="ЗАГОЛОВОК2" xfId="1850"/>
    <cellStyle name="ЗаголовокСтолбца" xfId="1851"/>
    <cellStyle name="Защитный" xfId="1852"/>
    <cellStyle name="Значение" xfId="1853"/>
    <cellStyle name="Зоголовок" xfId="1854"/>
    <cellStyle name="Итог 10" xfId="1855"/>
    <cellStyle name="Итог 2" xfId="1856"/>
    <cellStyle name="Итог 2 2" xfId="1857"/>
    <cellStyle name="Итог 2_46EE.2011(v1.0)" xfId="1858"/>
    <cellStyle name="Итог 3" xfId="1859"/>
    <cellStyle name="Итог 3 2" xfId="1860"/>
    <cellStyle name="Итог 3_46EE.2011(v1.0)" xfId="1861"/>
    <cellStyle name="Итог 4" xfId="1862"/>
    <cellStyle name="Итог 4 2" xfId="1863"/>
    <cellStyle name="Итог 4_46EE.2011(v1.0)" xfId="1864"/>
    <cellStyle name="Итог 5" xfId="1865"/>
    <cellStyle name="Итог 5 2" xfId="1866"/>
    <cellStyle name="Итог 5_46EE.2011(v1.0)" xfId="1867"/>
    <cellStyle name="Итог 6" xfId="1868"/>
    <cellStyle name="Итог 6 2" xfId="1869"/>
    <cellStyle name="Итог 6_46EE.2011(v1.0)" xfId="1870"/>
    <cellStyle name="Итог 7" xfId="1871"/>
    <cellStyle name="Итог 7 2" xfId="1872"/>
    <cellStyle name="Итог 7_46EE.2011(v1.0)" xfId="1873"/>
    <cellStyle name="Итог 8" xfId="1874"/>
    <cellStyle name="Итог 8 2" xfId="1875"/>
    <cellStyle name="Итог 8_46EE.2011(v1.0)" xfId="1876"/>
    <cellStyle name="Итог 9" xfId="1877"/>
    <cellStyle name="Итог 9 2" xfId="1878"/>
    <cellStyle name="Итог 9_46EE.2011(v1.0)" xfId="1879"/>
    <cellStyle name="Итого" xfId="1880"/>
    <cellStyle name="ИТОГОВЫЙ" xfId="1881"/>
    <cellStyle name="ИТОГОВЫЙ 2" xfId="1882"/>
    <cellStyle name="ИТОГОВЫЙ 3" xfId="1883"/>
    <cellStyle name="ИТОГОВЫЙ 4" xfId="1884"/>
    <cellStyle name="ИТОГОВЫЙ 5" xfId="1885"/>
    <cellStyle name="ИТОГОВЫЙ 6" xfId="1886"/>
    <cellStyle name="ИТОГОВЫЙ 7" xfId="1887"/>
    <cellStyle name="ИТОГОВЫЙ 8" xfId="1888"/>
    <cellStyle name="ИТОГОВЫЙ 9" xfId="1889"/>
    <cellStyle name="ИТОГОВЫЙ_1" xfId="1890"/>
    <cellStyle name="Контрольная ячейка 10" xfId="1891"/>
    <cellStyle name="Контрольная ячейка 2" xfId="1892"/>
    <cellStyle name="Контрольная ячейка 2 2" xfId="1893"/>
    <cellStyle name="Контрольная ячейка 2_46EE.2011(v1.0)" xfId="1894"/>
    <cellStyle name="Контрольная ячейка 3" xfId="1895"/>
    <cellStyle name="Контрольная ячейка 3 2" xfId="1896"/>
    <cellStyle name="Контрольная ячейка 3_46EE.2011(v1.0)" xfId="1897"/>
    <cellStyle name="Контрольная ячейка 4" xfId="1898"/>
    <cellStyle name="Контрольная ячейка 4 2" xfId="1899"/>
    <cellStyle name="Контрольная ячейка 4_46EE.2011(v1.0)" xfId="1900"/>
    <cellStyle name="Контрольная ячейка 5" xfId="1901"/>
    <cellStyle name="Контрольная ячейка 5 2" xfId="1902"/>
    <cellStyle name="Контрольная ячейка 5_46EE.2011(v1.0)" xfId="1903"/>
    <cellStyle name="Контрольная ячейка 6" xfId="1904"/>
    <cellStyle name="Контрольная ячейка 6 2" xfId="1905"/>
    <cellStyle name="Контрольная ячейка 6_46EE.2011(v1.0)" xfId="1906"/>
    <cellStyle name="Контрольная ячейка 7" xfId="1907"/>
    <cellStyle name="Контрольная ячейка 7 2" xfId="1908"/>
    <cellStyle name="Контрольная ячейка 7_46EE.2011(v1.0)" xfId="1909"/>
    <cellStyle name="Контрольная ячейка 8" xfId="1910"/>
    <cellStyle name="Контрольная ячейка 8 2" xfId="1911"/>
    <cellStyle name="Контрольная ячейка 8_46EE.2011(v1.0)" xfId="1912"/>
    <cellStyle name="Контрольная ячейка 9" xfId="1913"/>
    <cellStyle name="Контрольная ячейка 9 2" xfId="1914"/>
    <cellStyle name="Контрольная ячейка 9_46EE.2011(v1.0)" xfId="1915"/>
    <cellStyle name="Миша (бланки отчетности)" xfId="1916"/>
    <cellStyle name="Мой заголовок" xfId="1917"/>
    <cellStyle name="Мой заголовок листа" xfId="1918"/>
    <cellStyle name="Мой заголовок листа 2" xfId="1919"/>
    <cellStyle name="Мой заголовок_Новая инструкция1_фст" xfId="1920"/>
    <cellStyle name="Мои наименования показателей" xfId="1921"/>
    <cellStyle name="Мои наименования показателей 10" xfId="1922"/>
    <cellStyle name="Мои наименования показателей 11" xfId="1923"/>
    <cellStyle name="Мои наименования показателей 2" xfId="1924"/>
    <cellStyle name="Мои наименования показателей 2 2" xfId="1925"/>
    <cellStyle name="Мои наименования показателей 2 3" xfId="1926"/>
    <cellStyle name="Мои наименования показателей 2 4" xfId="1927"/>
    <cellStyle name="Мои наименования показателей 2 5" xfId="1928"/>
    <cellStyle name="Мои наименования показателей 2 6" xfId="1929"/>
    <cellStyle name="Мои наименования показателей 2 7" xfId="1930"/>
    <cellStyle name="Мои наименования показателей 2 8" xfId="1931"/>
    <cellStyle name="Мои наименования показателей 2 9" xfId="1932"/>
    <cellStyle name="Мои наименования показателей 2_1" xfId="1933"/>
    <cellStyle name="Мои наименования показателей 3" xfId="1934"/>
    <cellStyle name="Мои наименования показателей 3 2" xfId="1935"/>
    <cellStyle name="Мои наименования показателей 3 3" xfId="1936"/>
    <cellStyle name="Мои наименования показателей 3 4" xfId="1937"/>
    <cellStyle name="Мои наименования показателей 3 5" xfId="1938"/>
    <cellStyle name="Мои наименования показателей 3 6" xfId="1939"/>
    <cellStyle name="Мои наименования показателей 3 7" xfId="1940"/>
    <cellStyle name="Мои наименования показателей 3 8" xfId="1941"/>
    <cellStyle name="Мои наименования показателей 3 9" xfId="1942"/>
    <cellStyle name="Мои наименования показателей 3_1" xfId="1943"/>
    <cellStyle name="Мои наименования показателей 4" xfId="1944"/>
    <cellStyle name="Мои наименования показателей 4 2" xfId="1945"/>
    <cellStyle name="Мои наименования показателей 4 3" xfId="1946"/>
    <cellStyle name="Мои наименования показателей 4 4" xfId="1947"/>
    <cellStyle name="Мои наименования показателей 4 5" xfId="1948"/>
    <cellStyle name="Мои наименования показателей 4 6" xfId="1949"/>
    <cellStyle name="Мои наименования показателей 4 7" xfId="1950"/>
    <cellStyle name="Мои наименования показателей 4 8" xfId="1951"/>
    <cellStyle name="Мои наименования показателей 4 9" xfId="1952"/>
    <cellStyle name="Мои наименования показателей 4_1" xfId="1953"/>
    <cellStyle name="Мои наименования показателей 5" xfId="1954"/>
    <cellStyle name="Мои наименования показателей 5 2" xfId="1955"/>
    <cellStyle name="Мои наименования показателей 5 3" xfId="1956"/>
    <cellStyle name="Мои наименования показателей 5 4" xfId="1957"/>
    <cellStyle name="Мои наименования показателей 5 5" xfId="1958"/>
    <cellStyle name="Мои наименования показателей 5 6" xfId="1959"/>
    <cellStyle name="Мои наименования показателей 5 7" xfId="1960"/>
    <cellStyle name="Мои наименования показателей 5 8" xfId="1961"/>
    <cellStyle name="Мои наименования показателей 5 9" xfId="1962"/>
    <cellStyle name="Мои наименования показателей 5_1" xfId="1963"/>
    <cellStyle name="Мои наименования показателей 6" xfId="1964"/>
    <cellStyle name="Мои наименования показателей 6 2" xfId="1965"/>
    <cellStyle name="Мои наименования показателей 6 3" xfId="1966"/>
    <cellStyle name="Мои наименования показателей 6_46EE.2011(v1.0)" xfId="1967"/>
    <cellStyle name="Мои наименования показателей 7" xfId="1968"/>
    <cellStyle name="Мои наименования показателей 7 2" xfId="1969"/>
    <cellStyle name="Мои наименования показателей 7 3" xfId="1970"/>
    <cellStyle name="Мои наименования показателей 7_46EE.2011(v1.0)" xfId="1971"/>
    <cellStyle name="Мои наименования показателей 8" xfId="1972"/>
    <cellStyle name="Мои наименования показателей 8 2" xfId="1973"/>
    <cellStyle name="Мои наименования показателей 8 3" xfId="1974"/>
    <cellStyle name="Мои наименования показателей 8_46EE.2011(v1.0)" xfId="1975"/>
    <cellStyle name="Мои наименования показателей 9" xfId="1976"/>
    <cellStyle name="Мои наименования показателей_46EE.2011" xfId="1977"/>
    <cellStyle name="назв фил" xfId="1978"/>
    <cellStyle name="Название 10" xfId="1979"/>
    <cellStyle name="Название 2" xfId="1980"/>
    <cellStyle name="Название 2 2" xfId="1981"/>
    <cellStyle name="Название 3" xfId="1982"/>
    <cellStyle name="Название 3 2" xfId="1983"/>
    <cellStyle name="Название 4" xfId="1984"/>
    <cellStyle name="Название 4 2" xfId="1985"/>
    <cellStyle name="Название 5" xfId="1986"/>
    <cellStyle name="Название 5 2" xfId="1987"/>
    <cellStyle name="Название 6" xfId="1988"/>
    <cellStyle name="Название 6 2" xfId="1989"/>
    <cellStyle name="Название 7" xfId="1990"/>
    <cellStyle name="Название 7 2" xfId="1991"/>
    <cellStyle name="Название 8" xfId="1992"/>
    <cellStyle name="Название 8 2" xfId="1993"/>
    <cellStyle name="Название 9" xfId="1994"/>
    <cellStyle name="Название 9 2" xfId="1995"/>
    <cellStyle name="Невидимый" xfId="1996"/>
    <cellStyle name="Нейтральный 10" xfId="1997"/>
    <cellStyle name="Нейтральный 2" xfId="1998"/>
    <cellStyle name="Нейтральный 2 2" xfId="1999"/>
    <cellStyle name="Нейтральный 3" xfId="2000"/>
    <cellStyle name="Нейтральный 3 2" xfId="2001"/>
    <cellStyle name="Нейтральный 4" xfId="2002"/>
    <cellStyle name="Нейтральный 4 2" xfId="2003"/>
    <cellStyle name="Нейтральный 5" xfId="2004"/>
    <cellStyle name="Нейтральный 5 2" xfId="2005"/>
    <cellStyle name="Нейтральный 6" xfId="2006"/>
    <cellStyle name="Нейтральный 6 2" xfId="2007"/>
    <cellStyle name="Нейтральный 7" xfId="2008"/>
    <cellStyle name="Нейтральный 7 2" xfId="2009"/>
    <cellStyle name="Нейтральный 8" xfId="2010"/>
    <cellStyle name="Нейтральный 8 2" xfId="2011"/>
    <cellStyle name="Нейтральный 9" xfId="2012"/>
    <cellStyle name="Нейтральный 9 2" xfId="2013"/>
    <cellStyle name="Низ1" xfId="2014"/>
    <cellStyle name="Низ2" xfId="2015"/>
    <cellStyle name="Обычный" xfId="0" builtinId="0"/>
    <cellStyle name="Обычный 10" xfId="2016"/>
    <cellStyle name="Обычный 11" xfId="2017"/>
    <cellStyle name="Обычный 11 2" xfId="2018"/>
    <cellStyle name="Обычный 11 3" xfId="2019"/>
    <cellStyle name="Обычный 11_46EE.2011(v1.2)" xfId="2020"/>
    <cellStyle name="Обычный 12" xfId="2021"/>
    <cellStyle name="Обычный 12 2" xfId="2022"/>
    <cellStyle name="Обычный 13" xfId="2023"/>
    <cellStyle name="Обычный 14" xfId="2024"/>
    <cellStyle name="Обычный 15" xfId="2025"/>
    <cellStyle name="Обычный 16" xfId="2026"/>
    <cellStyle name="Обычный 17" xfId="2027"/>
    <cellStyle name="Обычный 18" xfId="2028"/>
    <cellStyle name="Обычный 19" xfId="2029"/>
    <cellStyle name="Обычный 2" xfId="2030"/>
    <cellStyle name="Обычный 2 10" xfId="2031"/>
    <cellStyle name="Обычный 2 11" xfId="2032"/>
    <cellStyle name="Обычный 2 12" xfId="2033"/>
    <cellStyle name="Обычный 2 2" xfId="2034"/>
    <cellStyle name="Обычный 2 2 2" xfId="2035"/>
    <cellStyle name="Обычный 2 2 2 2" xfId="2036"/>
    <cellStyle name="Обычный 2 2 2 3" xfId="2037"/>
    <cellStyle name="Обычный 2 2 2 4" xfId="2038"/>
    <cellStyle name="Обычный 2 2 2 5" xfId="2039"/>
    <cellStyle name="Обычный 2 2 3" xfId="2040"/>
    <cellStyle name="Обычный 2 2 3 2" xfId="2041"/>
    <cellStyle name="Обычный 2 2 4" xfId="2042"/>
    <cellStyle name="Обычный 2 2_46EE.2011(v1.0)" xfId="2043"/>
    <cellStyle name="Обычный 2 3" xfId="2044"/>
    <cellStyle name="Обычный 2 3 2" xfId="2045"/>
    <cellStyle name="Обычный 2 3 3" xfId="2046"/>
    <cellStyle name="Обычный 2 3_46EE.2011(v1.0)" xfId="2047"/>
    <cellStyle name="Обычный 2 4" xfId="2048"/>
    <cellStyle name="Обычный 2 4 2" xfId="2049"/>
    <cellStyle name="Обычный 2 4 3" xfId="2050"/>
    <cellStyle name="Обычный 2 4_46EE.2011(v1.0)" xfId="2051"/>
    <cellStyle name="Обычный 2 5" xfId="2052"/>
    <cellStyle name="Обычный 2 5 2" xfId="2053"/>
    <cellStyle name="Обычный 2 5 3" xfId="2054"/>
    <cellStyle name="Обычный 2 5_46EE.2011(v1.0)" xfId="2055"/>
    <cellStyle name="Обычный 2 6" xfId="2056"/>
    <cellStyle name="Обычный 2 6 2" xfId="2057"/>
    <cellStyle name="Обычный 2 6 3" xfId="2058"/>
    <cellStyle name="Обычный 2 6_46EE.2011(v1.0)" xfId="2059"/>
    <cellStyle name="Обычный 2 7" xfId="2060"/>
    <cellStyle name="Обычный 2 8" xfId="2061"/>
    <cellStyle name="Обычный 2 9" xfId="2062"/>
    <cellStyle name="Обычный 2_1" xfId="2063"/>
    <cellStyle name="Обычный 20" xfId="2064"/>
    <cellStyle name="Обычный 21" xfId="2065"/>
    <cellStyle name="Обычный 22" xfId="2066"/>
    <cellStyle name="Обычный 23" xfId="2067"/>
    <cellStyle name="Обычный 24" xfId="2068"/>
    <cellStyle name="Обычный 25" xfId="2069"/>
    <cellStyle name="Обычный 26" xfId="2070"/>
    <cellStyle name="Обычный 27" xfId="2071"/>
    <cellStyle name="Обычный 28" xfId="2072"/>
    <cellStyle name="Обычный 29" xfId="2073"/>
    <cellStyle name="Обычный 3" xfId="2074"/>
    <cellStyle name="Обычный 3 2" xfId="2075"/>
    <cellStyle name="Обычный 3 3" xfId="2076"/>
    <cellStyle name="Обычный 3 4" xfId="2077"/>
    <cellStyle name="Обычный 3_Общехоз." xfId="2078"/>
    <cellStyle name="Обычный 30" xfId="2079"/>
    <cellStyle name="Обычный 31" xfId="2080"/>
    <cellStyle name="Обычный 32" xfId="2081"/>
    <cellStyle name="Обычный 33" xfId="2082"/>
    <cellStyle name="Обычный 34" xfId="2083"/>
    <cellStyle name="Обычный 35" xfId="2084"/>
    <cellStyle name="Обычный 36" xfId="2085"/>
    <cellStyle name="Обычный 37" xfId="2086"/>
    <cellStyle name="Обычный 38" xfId="2087"/>
    <cellStyle name="Обычный 39" xfId="2088"/>
    <cellStyle name="Обычный 4" xfId="2089"/>
    <cellStyle name="Обычный 4 2" xfId="2090"/>
    <cellStyle name="Обычный 4 2 2" xfId="2091"/>
    <cellStyle name="Обычный 4 2 3" xfId="2092"/>
    <cellStyle name="Обычный 4 2 4" xfId="2093"/>
    <cellStyle name="Обычный 4 2 5" xfId="2094"/>
    <cellStyle name="Обычный 4 2_46EP.2012(v0.1)" xfId="2095"/>
    <cellStyle name="Обычный 4 3" xfId="2096"/>
    <cellStyle name="Обычный 4_ARMRAZR" xfId="2097"/>
    <cellStyle name="Обычный 40" xfId="2098"/>
    <cellStyle name="Обычный 41" xfId="2099"/>
    <cellStyle name="Обычный 42" xfId="2100"/>
    <cellStyle name="Обычный 43" xfId="2101"/>
    <cellStyle name="Обычный 5" xfId="2102"/>
    <cellStyle name="Обычный 5 2" xfId="2103"/>
    <cellStyle name="Обычный 6" xfId="2104"/>
    <cellStyle name="Обычный 6 2" xfId="2105"/>
    <cellStyle name="Обычный 7" xfId="2106"/>
    <cellStyle name="Обычный 7 2" xfId="2107"/>
    <cellStyle name="Обычный 8" xfId="2108"/>
    <cellStyle name="Обычный 8 2" xfId="2109"/>
    <cellStyle name="Обычный 9" xfId="2110"/>
    <cellStyle name="Обычный 9 2" xfId="2111"/>
    <cellStyle name="Обычный___________ __ ________ _______ 3" xfId="4"/>
    <cellStyle name="Обычный_Демянск  ЖКХ(тепло)кц" xfId="1"/>
    <cellStyle name="Обычный_Демянск  ЖКХ(тепло)кц 2" xfId="2"/>
    <cellStyle name="Обычный_ДОПОЛНЕНИЯ" xfId="3"/>
    <cellStyle name="Ошибка" xfId="2112"/>
    <cellStyle name="Плохой 10" xfId="2113"/>
    <cellStyle name="Плохой 2" xfId="2114"/>
    <cellStyle name="Плохой 2 2" xfId="2115"/>
    <cellStyle name="Плохой 3" xfId="2116"/>
    <cellStyle name="Плохой 3 2" xfId="2117"/>
    <cellStyle name="Плохой 4" xfId="2118"/>
    <cellStyle name="Плохой 4 2" xfId="2119"/>
    <cellStyle name="Плохой 5" xfId="2120"/>
    <cellStyle name="Плохой 5 2" xfId="2121"/>
    <cellStyle name="Плохой 6" xfId="2122"/>
    <cellStyle name="Плохой 6 2" xfId="2123"/>
    <cellStyle name="Плохой 7" xfId="2124"/>
    <cellStyle name="Плохой 7 2" xfId="2125"/>
    <cellStyle name="Плохой 8" xfId="2126"/>
    <cellStyle name="Плохой 8 2" xfId="2127"/>
    <cellStyle name="Плохой 9" xfId="2128"/>
    <cellStyle name="Плохой 9 2" xfId="2129"/>
    <cellStyle name="По центру с переносом" xfId="2130"/>
    <cellStyle name="По центру с переносом 2" xfId="2131"/>
    <cellStyle name="По центру с переносом 3" xfId="2132"/>
    <cellStyle name="По центру с переносом 4" xfId="2133"/>
    <cellStyle name="По ширине с переносом" xfId="2134"/>
    <cellStyle name="По ширине с переносом 2" xfId="2135"/>
    <cellStyle name="По ширине с переносом 3" xfId="2136"/>
    <cellStyle name="По ширине с переносом 4" xfId="2137"/>
    <cellStyle name="Подгруппа" xfId="2138"/>
    <cellStyle name="Поле ввода" xfId="2139"/>
    <cellStyle name="Пояснение 10" xfId="2140"/>
    <cellStyle name="Пояснение 2" xfId="2141"/>
    <cellStyle name="Пояснение 2 2" xfId="2142"/>
    <cellStyle name="Пояснение 3" xfId="2143"/>
    <cellStyle name="Пояснение 3 2" xfId="2144"/>
    <cellStyle name="Пояснение 4" xfId="2145"/>
    <cellStyle name="Пояснение 4 2" xfId="2146"/>
    <cellStyle name="Пояснение 5" xfId="2147"/>
    <cellStyle name="Пояснение 5 2" xfId="2148"/>
    <cellStyle name="Пояснение 6" xfId="2149"/>
    <cellStyle name="Пояснение 6 2" xfId="2150"/>
    <cellStyle name="Пояснение 7" xfId="2151"/>
    <cellStyle name="Пояснение 7 2" xfId="2152"/>
    <cellStyle name="Пояснение 8" xfId="2153"/>
    <cellStyle name="Пояснение 8 2" xfId="2154"/>
    <cellStyle name="Пояснение 9" xfId="2155"/>
    <cellStyle name="Пояснение 9 2" xfId="2156"/>
    <cellStyle name="Примечание 10" xfId="2157"/>
    <cellStyle name="Примечание 10 2" xfId="2158"/>
    <cellStyle name="Примечание 10 3" xfId="2159"/>
    <cellStyle name="Примечание 10 4" xfId="2160"/>
    <cellStyle name="Примечание 10_46EE.2011(v1.0)" xfId="2161"/>
    <cellStyle name="Примечание 11" xfId="2162"/>
    <cellStyle name="Примечание 11 2" xfId="2163"/>
    <cellStyle name="Примечание 11 3" xfId="2164"/>
    <cellStyle name="Примечание 11 4" xfId="2165"/>
    <cellStyle name="Примечание 11_46EE.2011(v1.0)" xfId="2166"/>
    <cellStyle name="Примечание 12" xfId="2167"/>
    <cellStyle name="Примечание 12 2" xfId="2168"/>
    <cellStyle name="Примечание 12 3" xfId="2169"/>
    <cellStyle name="Примечание 12 4" xfId="2170"/>
    <cellStyle name="Примечание 12_46EE.2011(v1.0)" xfId="2171"/>
    <cellStyle name="Примечание 13" xfId="2172"/>
    <cellStyle name="Примечание 14" xfId="2173"/>
    <cellStyle name="Примечание 15" xfId="2174"/>
    <cellStyle name="Примечание 16" xfId="2175"/>
    <cellStyle name="Примечание 17" xfId="2176"/>
    <cellStyle name="Примечание 18" xfId="2177"/>
    <cellStyle name="Примечание 19" xfId="2178"/>
    <cellStyle name="Примечание 2" xfId="2179"/>
    <cellStyle name="Примечание 2 2" xfId="2180"/>
    <cellStyle name="Примечание 2 3" xfId="2181"/>
    <cellStyle name="Примечание 2 4" xfId="2182"/>
    <cellStyle name="Примечание 2 5" xfId="2183"/>
    <cellStyle name="Примечание 2 6" xfId="2184"/>
    <cellStyle name="Примечание 2 7" xfId="2185"/>
    <cellStyle name="Примечание 2 8" xfId="2186"/>
    <cellStyle name="Примечание 2 9" xfId="2187"/>
    <cellStyle name="Примечание 2_46EE.2011(v1.0)" xfId="2188"/>
    <cellStyle name="Примечание 20" xfId="2189"/>
    <cellStyle name="Примечание 21" xfId="2190"/>
    <cellStyle name="Примечание 22" xfId="2191"/>
    <cellStyle name="Примечание 23" xfId="2192"/>
    <cellStyle name="Примечание 24" xfId="2193"/>
    <cellStyle name="Примечание 25" xfId="2194"/>
    <cellStyle name="Примечание 26" xfId="2195"/>
    <cellStyle name="Примечание 27" xfId="2196"/>
    <cellStyle name="Примечание 28" xfId="2197"/>
    <cellStyle name="Примечание 29" xfId="2198"/>
    <cellStyle name="Примечание 3" xfId="2199"/>
    <cellStyle name="Примечание 3 2" xfId="2200"/>
    <cellStyle name="Примечание 3 3" xfId="2201"/>
    <cellStyle name="Примечание 3 4" xfId="2202"/>
    <cellStyle name="Примечание 3 5" xfId="2203"/>
    <cellStyle name="Примечание 3 6" xfId="2204"/>
    <cellStyle name="Примечание 3 7" xfId="2205"/>
    <cellStyle name="Примечание 3 8" xfId="2206"/>
    <cellStyle name="Примечание 3 9" xfId="2207"/>
    <cellStyle name="Примечание 3_46EE.2011(v1.0)" xfId="2208"/>
    <cellStyle name="Примечание 30" xfId="2209"/>
    <cellStyle name="Примечание 31" xfId="2210"/>
    <cellStyle name="Примечание 32" xfId="2211"/>
    <cellStyle name="Примечание 33" xfId="2212"/>
    <cellStyle name="Примечание 34" xfId="2213"/>
    <cellStyle name="Примечание 35" xfId="2214"/>
    <cellStyle name="Примечание 36" xfId="2215"/>
    <cellStyle name="Примечание 37" xfId="2216"/>
    <cellStyle name="Примечание 4" xfId="2217"/>
    <cellStyle name="Примечание 4 2" xfId="2218"/>
    <cellStyle name="Примечание 4 3" xfId="2219"/>
    <cellStyle name="Примечание 4 4" xfId="2220"/>
    <cellStyle name="Примечание 4 5" xfId="2221"/>
    <cellStyle name="Примечание 4 6" xfId="2222"/>
    <cellStyle name="Примечание 4 7" xfId="2223"/>
    <cellStyle name="Примечание 4 8" xfId="2224"/>
    <cellStyle name="Примечание 4 9" xfId="2225"/>
    <cellStyle name="Примечание 4_46EE.2011(v1.0)" xfId="2226"/>
    <cellStyle name="Примечание 5" xfId="2227"/>
    <cellStyle name="Примечание 5 2" xfId="2228"/>
    <cellStyle name="Примечание 5 3" xfId="2229"/>
    <cellStyle name="Примечание 5 4" xfId="2230"/>
    <cellStyle name="Примечание 5 5" xfId="2231"/>
    <cellStyle name="Примечание 5 6" xfId="2232"/>
    <cellStyle name="Примечание 5 7" xfId="2233"/>
    <cellStyle name="Примечание 5 8" xfId="2234"/>
    <cellStyle name="Примечание 5 9" xfId="2235"/>
    <cellStyle name="Примечание 5_46EE.2011(v1.0)" xfId="2236"/>
    <cellStyle name="Примечание 6" xfId="2237"/>
    <cellStyle name="Примечание 6 2" xfId="2238"/>
    <cellStyle name="Примечание 6_46EE.2011(v1.0)" xfId="2239"/>
    <cellStyle name="Примечание 7" xfId="2240"/>
    <cellStyle name="Примечание 7 2" xfId="2241"/>
    <cellStyle name="Примечание 7_46EE.2011(v1.0)" xfId="2242"/>
    <cellStyle name="Примечание 8" xfId="2243"/>
    <cellStyle name="Примечание 8 2" xfId="2244"/>
    <cellStyle name="Примечание 8_46EE.2011(v1.0)" xfId="2245"/>
    <cellStyle name="Примечание 9" xfId="2246"/>
    <cellStyle name="Примечание 9 2" xfId="2247"/>
    <cellStyle name="Примечание 9_46EE.2011(v1.0)" xfId="2248"/>
    <cellStyle name="Продукт" xfId="2249"/>
    <cellStyle name="Процентный 10" xfId="2250"/>
    <cellStyle name="Процентный 2" xfId="2251"/>
    <cellStyle name="Процентный 2 2" xfId="2252"/>
    <cellStyle name="Процентный 2 2 2" xfId="2253"/>
    <cellStyle name="Процентный 2 2 3" xfId="2254"/>
    <cellStyle name="Процентный 2 2 4" xfId="2255"/>
    <cellStyle name="Процентный 2 3" xfId="2256"/>
    <cellStyle name="Процентный 2 3 2" xfId="2257"/>
    <cellStyle name="Процентный 2 3 3" xfId="2258"/>
    <cellStyle name="Процентный 2 3 4" xfId="2259"/>
    <cellStyle name="Процентный 2 4" xfId="2260"/>
    <cellStyle name="Процентный 2 5" xfId="2261"/>
    <cellStyle name="Процентный 2 6" xfId="2262"/>
    <cellStyle name="Процентный 3" xfId="2263"/>
    <cellStyle name="Процентный 3 2" xfId="2264"/>
    <cellStyle name="Процентный 3 3" xfId="2265"/>
    <cellStyle name="Процентный 3 4" xfId="2266"/>
    <cellStyle name="Процентный 4" xfId="2267"/>
    <cellStyle name="Процентный 4 2" xfId="2268"/>
    <cellStyle name="Процентный 4 3" xfId="2269"/>
    <cellStyle name="Процентный 4 4" xfId="2270"/>
    <cellStyle name="Процентный 5" xfId="2271"/>
    <cellStyle name="Процентный 9" xfId="2272"/>
    <cellStyle name="Разница" xfId="2273"/>
    <cellStyle name="Рамки" xfId="2274"/>
    <cellStyle name="Сводная таблица" xfId="2275"/>
    <cellStyle name="Связанная ячейка 10" xfId="2276"/>
    <cellStyle name="Связанная ячейка 2" xfId="2277"/>
    <cellStyle name="Связанная ячейка 2 2" xfId="2278"/>
    <cellStyle name="Связанная ячейка 2_46EE.2011(v1.0)" xfId="2279"/>
    <cellStyle name="Связанная ячейка 3" xfId="2280"/>
    <cellStyle name="Связанная ячейка 3 2" xfId="2281"/>
    <cellStyle name="Связанная ячейка 3_46EE.2011(v1.0)" xfId="2282"/>
    <cellStyle name="Связанная ячейка 4" xfId="2283"/>
    <cellStyle name="Связанная ячейка 4 2" xfId="2284"/>
    <cellStyle name="Связанная ячейка 4_46EE.2011(v1.0)" xfId="2285"/>
    <cellStyle name="Связанная ячейка 5" xfId="2286"/>
    <cellStyle name="Связанная ячейка 5 2" xfId="2287"/>
    <cellStyle name="Связанная ячейка 5_46EE.2011(v1.0)" xfId="2288"/>
    <cellStyle name="Связанная ячейка 6" xfId="2289"/>
    <cellStyle name="Связанная ячейка 6 2" xfId="2290"/>
    <cellStyle name="Связанная ячейка 6_46EE.2011(v1.0)" xfId="2291"/>
    <cellStyle name="Связанная ячейка 7" xfId="2292"/>
    <cellStyle name="Связанная ячейка 7 2" xfId="2293"/>
    <cellStyle name="Связанная ячейка 7_46EE.2011(v1.0)" xfId="2294"/>
    <cellStyle name="Связанная ячейка 8" xfId="2295"/>
    <cellStyle name="Связанная ячейка 8 2" xfId="2296"/>
    <cellStyle name="Связанная ячейка 8_46EE.2011(v1.0)" xfId="2297"/>
    <cellStyle name="Связанная ячейка 9" xfId="2298"/>
    <cellStyle name="Связанная ячейка 9 2" xfId="2299"/>
    <cellStyle name="Связанная ячейка 9_46EE.2011(v1.0)" xfId="2300"/>
    <cellStyle name="Стиль 1" xfId="2301"/>
    <cellStyle name="Стиль 1 2" xfId="2302"/>
    <cellStyle name="Стиль 1 2 2" xfId="2303"/>
    <cellStyle name="Стиль 1 2_46EP.2011(v2.0)" xfId="2304"/>
    <cellStyle name="Стиль 1_Новая инструкция1_фст" xfId="2305"/>
    <cellStyle name="Стиль 2" xfId="2306"/>
    <cellStyle name="Субсчет" xfId="2307"/>
    <cellStyle name="Счет" xfId="2308"/>
    <cellStyle name="ТЕКСТ" xfId="2309"/>
    <cellStyle name="ТЕКСТ 2" xfId="2310"/>
    <cellStyle name="ТЕКСТ 3" xfId="2311"/>
    <cellStyle name="ТЕКСТ 4" xfId="2312"/>
    <cellStyle name="ТЕКСТ 5" xfId="2313"/>
    <cellStyle name="ТЕКСТ 6" xfId="2314"/>
    <cellStyle name="ТЕКСТ 7" xfId="2315"/>
    <cellStyle name="ТЕКСТ 8" xfId="2316"/>
    <cellStyle name="ТЕКСТ 9" xfId="2317"/>
    <cellStyle name="Текст предупреждения 10" xfId="2318"/>
    <cellStyle name="Текст предупреждения 2" xfId="2319"/>
    <cellStyle name="Текст предупреждения 2 2" xfId="2320"/>
    <cellStyle name="Текст предупреждения 3" xfId="2321"/>
    <cellStyle name="Текст предупреждения 3 2" xfId="2322"/>
    <cellStyle name="Текст предупреждения 4" xfId="2323"/>
    <cellStyle name="Текст предупреждения 4 2" xfId="2324"/>
    <cellStyle name="Текст предупреждения 5" xfId="2325"/>
    <cellStyle name="Текст предупреждения 5 2" xfId="2326"/>
    <cellStyle name="Текст предупреждения 6" xfId="2327"/>
    <cellStyle name="Текст предупреждения 6 2" xfId="2328"/>
    <cellStyle name="Текст предупреждения 7" xfId="2329"/>
    <cellStyle name="Текст предупреждения 7 2" xfId="2330"/>
    <cellStyle name="Текст предупреждения 8" xfId="2331"/>
    <cellStyle name="Текст предупреждения 8 2" xfId="2332"/>
    <cellStyle name="Текст предупреждения 9" xfId="2333"/>
    <cellStyle name="Текст предупреждения 9 2" xfId="2334"/>
    <cellStyle name="Текстовый" xfId="2335"/>
    <cellStyle name="Текстовый 10" xfId="2336"/>
    <cellStyle name="Текстовый 11" xfId="2337"/>
    <cellStyle name="Текстовый 12" xfId="2338"/>
    <cellStyle name="Текстовый 13" xfId="2339"/>
    <cellStyle name="Текстовый 14" xfId="2340"/>
    <cellStyle name="Текстовый 15" xfId="2341"/>
    <cellStyle name="Текстовый 16" xfId="2342"/>
    <cellStyle name="Текстовый 2" xfId="2343"/>
    <cellStyle name="Текстовый 3" xfId="2344"/>
    <cellStyle name="Текстовый 4" xfId="2345"/>
    <cellStyle name="Текстовый 5" xfId="2346"/>
    <cellStyle name="Текстовый 6" xfId="2347"/>
    <cellStyle name="Текстовый 7" xfId="2348"/>
    <cellStyle name="Текстовый 8" xfId="2349"/>
    <cellStyle name="Текстовый 9" xfId="2350"/>
    <cellStyle name="Текстовый_1" xfId="2351"/>
    <cellStyle name="Тысячи [0]_22гк" xfId="2352"/>
    <cellStyle name="Тысячи_22гк" xfId="2353"/>
    <cellStyle name="ФИКСИРОВАННЫЙ" xfId="2354"/>
    <cellStyle name="ФИКСИРОВАННЫЙ 2" xfId="2355"/>
    <cellStyle name="ФИКСИРОВАННЫЙ 3" xfId="2356"/>
    <cellStyle name="ФИКСИРОВАННЫЙ 4" xfId="2357"/>
    <cellStyle name="ФИКСИРОВАННЫЙ 5" xfId="2358"/>
    <cellStyle name="ФИКСИРОВАННЫЙ 6" xfId="2359"/>
    <cellStyle name="ФИКСИРОВАННЫЙ 7" xfId="2360"/>
    <cellStyle name="ФИКСИРОВАННЫЙ 8" xfId="2361"/>
    <cellStyle name="ФИКСИРОВАННЫЙ 9" xfId="2362"/>
    <cellStyle name="ФИКСИРОВАННЫЙ_1" xfId="2363"/>
    <cellStyle name="Финансовый" xfId="2424" builtinId="3"/>
    <cellStyle name="Финансовый 2" xfId="2364"/>
    <cellStyle name="Финансовый 2 2" xfId="2365"/>
    <cellStyle name="Финансовый 2 2 2" xfId="2366"/>
    <cellStyle name="Финансовый 2 2 3" xfId="2367"/>
    <cellStyle name="Финансовый 2 2_INDEX.STATION.2012(v1.0)_" xfId="2368"/>
    <cellStyle name="Финансовый 2 3" xfId="2369"/>
    <cellStyle name="Финансовый 2_46EE.2011(v1.0)" xfId="2370"/>
    <cellStyle name="Финансовый 3" xfId="2371"/>
    <cellStyle name="Финансовый 3 2" xfId="2372"/>
    <cellStyle name="Финансовый 3 2 2" xfId="2373"/>
    <cellStyle name="Финансовый 3 2_UPDATE.MONITORING.OS.EE.2.02.TO.1.3.64" xfId="2374"/>
    <cellStyle name="Финансовый 3 3" xfId="2375"/>
    <cellStyle name="Финансовый 3 4" xfId="2376"/>
    <cellStyle name="Финансовый 3 5" xfId="2377"/>
    <cellStyle name="Финансовый 3_ARMRAZR" xfId="2378"/>
    <cellStyle name="Финансовый 4" xfId="2379"/>
    <cellStyle name="Финансовый 4 2" xfId="2380"/>
    <cellStyle name="Финансовый 4_TEHSHEET" xfId="2381"/>
    <cellStyle name="Финансовый 5" xfId="2382"/>
    <cellStyle name="Финансовый 6" xfId="2383"/>
    <cellStyle name="Финансовый0[0]_FU_bal" xfId="2384"/>
    <cellStyle name="Формула" xfId="2385"/>
    <cellStyle name="Формула 2" xfId="2386"/>
    <cellStyle name="Формула 3" xfId="2387"/>
    <cellStyle name="Формула_A РТ 2009 Рязаньэнерго" xfId="2388"/>
    <cellStyle name="ФормулаВБ" xfId="2389"/>
    <cellStyle name="ФормулаВБ 2" xfId="2390"/>
    <cellStyle name="ФормулаНаКонтроль" xfId="2391"/>
    <cellStyle name="ФормулаНаКонтроль 2" xfId="2392"/>
    <cellStyle name="Хороший 10" xfId="2393"/>
    <cellStyle name="Хороший 2" xfId="2394"/>
    <cellStyle name="Хороший 2 2" xfId="2395"/>
    <cellStyle name="Хороший 3" xfId="2396"/>
    <cellStyle name="Хороший 3 2" xfId="2397"/>
    <cellStyle name="Хороший 4" xfId="2398"/>
    <cellStyle name="Хороший 4 2" xfId="2399"/>
    <cellStyle name="Хороший 5" xfId="2400"/>
    <cellStyle name="Хороший 5 2" xfId="2401"/>
    <cellStyle name="Хороший 6" xfId="2402"/>
    <cellStyle name="Хороший 6 2" xfId="2403"/>
    <cellStyle name="Хороший 7" xfId="2404"/>
    <cellStyle name="Хороший 7 2" xfId="2405"/>
    <cellStyle name="Хороший 8" xfId="2406"/>
    <cellStyle name="Хороший 8 2" xfId="2407"/>
    <cellStyle name="Хороший 9" xfId="2408"/>
    <cellStyle name="Хороший 9 2" xfId="2409"/>
    <cellStyle name="Цена_продукта" xfId="2410"/>
    <cellStyle name="Цифры по центру с десятыми" xfId="2411"/>
    <cellStyle name="Цифры по центру с десятыми 2" xfId="2412"/>
    <cellStyle name="Цифры по центру с десятыми 3" xfId="2413"/>
    <cellStyle name="Цифры по центру с десятыми 4" xfId="2414"/>
    <cellStyle name="число" xfId="2415"/>
    <cellStyle name="Џђћ–…ќ’ќ›‰" xfId="2416"/>
    <cellStyle name="Џђћ–…ќ’ќ›‰ 2" xfId="2417"/>
    <cellStyle name="Шапка" xfId="2418"/>
    <cellStyle name="Шапка таблицы" xfId="2419"/>
    <cellStyle name="Шапка_4DNS.UPDATE.EXAMPLE" xfId="2420"/>
    <cellStyle name="ШАУ" xfId="2421"/>
    <cellStyle name="標準_PL-CF sheet" xfId="2422"/>
    <cellStyle name="䁺_x0001_" xfId="24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ovpetr_419/Desktop/&#1072;&#1085;&#1072;&#1083;&#1080;&#1079;%20&#1090;&#1072;&#1088;&#1080;&#1092;&#1086;&#1074;%202015-2018%20%20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ovseme_415/Downloads/!&#1044;&#1054;&#1050;&#1059;&#1052;&#1045;&#1053;&#1058;&#1067;%20-&#1054;&#1083;&#1100;&#1075;&#1072;/!&#1055;&#1056;&#1045;&#1044;&#1055;&#1056;&#1048;&#1071;&#1058;&#1048;&#1071;%202013/2013%20&#1075;&#1086;&#1076;%20&#1053;&#1046;&#1050;&#1057;%20&#1050;&#1062;/&#1089;&#1074;&#1086;&#1076;&#1099;/&#1090;&#1077;&#1087;&#1083;&#1086;/3%20&#1089;&#1074;&#1086;&#1076;%20&#1090;&#1077;&#1087;&#1083;&#1086;(100%25)-&#1084;&#1086;&#1081;(&#1095;&#1091;&#1076;&#1086;&#1074;&#108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ovseme_415/Downloads/!&#1044;&#1054;&#1050;&#1059;&#1052;&#1045;&#1053;&#1058;&#1067;%20-&#1054;&#1083;&#1100;&#1075;&#1072;/&#1076;&#1083;&#1103;%20&#1052;.&#1053;/&#1080;&#1085;&#1092;&#1086;&#1088;&#1084;&#1072;&#1094;&#1080;&#1103;%20&#1087;&#1086;%20&#1090;&#1072;&#1088;&#1080;&#1092;&#1072;&#1084;/&#1072;&#1085;&#1072;&#1083;&#1080;&#1079;%20&#1090;&#1072;&#1088;&#1080;&#1092;&#1086;&#1074;%202012-2013&#1075;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taganova\_&#1089;&#1086;&#1083;&#1090;&#1072;&#1075;&#1072;&#1085;&#1086;&#1074;&#1072;\&#1064;&#1072;&#1073;&#1083;&#1086;&#1085;&#1099;%20&#1055;&#1083;&#1072;&#1085;%202014%20&#1075;&#1086;&#1076;&#1072;\SUMMARY.BALANCE.CALC.TARIFF.VSNA.2014YEAR(&#1087;&#1088;&#1072;&#1074;&#1080;&#1083;&#1100;&#1085;&#1099;&#1081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taganova\_&#1089;&#1086;&#1083;&#1090;&#1072;&#1075;&#1072;&#1085;&#1086;&#1074;&#1072;\&#1064;&#1072;&#1073;&#1083;&#1086;&#1085;&#1099;%20&#1055;&#1083;&#1072;&#1085;%202014%20&#1075;&#1086;&#1076;&#1072;\SUMMARY.BALANCE.CALC.TARIFF.VOTV.2014YEA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&#1042;&#1077;&#1089;&#1077;&#1083;&#1086;&#1074;&#1072;/Application%20Data/Microsoft/Excel/&#1072;&#1085;&#1072;&#1083;&#1080;&#1079;%20&#1090;&#1072;&#1088;&#1080;&#1092;&#1086;&#1074;%20201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ovseme_415/Downloads/!&#1044;&#1054;&#1050;&#1059;&#1052;&#1045;&#1053;&#1058;&#1067;%20-&#1054;&#1083;&#1100;&#1075;&#1072;/&#1064;&#1072;&#1073;&#1083;&#1086;&#1085;&#1099;/2014%20&#1043;&#1054;&#1044;/&#1090;&#1077;&#1087;&#1083;&#1086;%20&#1087;&#1083;&#1072;&#1085;%202014/&#1041;&#1086;&#1088;&#1086;&#1074;&#1080;&#1095;&#1089;&#1082;&#1080;&#1081;%20BALANCE.CALC.TARIFF.WARM.2014YEAR_(v1.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taganova\_&#1089;&#1086;&#1083;&#1090;&#1072;&#1075;&#1072;&#1085;&#1086;&#1074;&#1072;\&#1064;&#1072;&#1073;&#1083;&#1086;&#1085;&#1099;%20&#1055;&#1083;&#1072;&#1085;%202014%20&#1075;&#1086;&#1076;&#1072;\SUMMARY.BALANCE.CALC.TARIFF.WARM.2014YEA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ovseme_415/Downloads/!&#1044;&#1054;&#1050;&#1059;&#1052;&#1045;&#1053;&#1058;&#1067;%20-&#1054;&#1083;&#1100;&#1075;&#1072;/&#1064;&#1072;&#1073;&#1083;&#1086;&#1085;&#1099;/2014%20&#1043;&#1054;&#1044;/SUMMARY.BALANCE.CALC.TARIFF.WARM.2014YEA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taganova\_&#1089;&#1086;&#1083;&#1090;&#1072;&#1075;&#1072;&#1085;&#1086;&#1074;&#1072;\1&#1055;&#1077;&#1090;&#1088;&#1086;&#1074;&#1072;\&#1058;&#1077;&#1087;&#1083;&#1086;%202014\&#1058;&#1050;%20&#1053;&#1086;&#1074;&#1075;&#1086;&#1088;&#1086;&#1076;&#1089;&#1082;&#1072;&#1103;\&#1055;&#1051;&#1040;&#1053;%20&#1054;&#1041;&#1066;&#1045;&#1052;&#1067;%20%20&#1058;&#1050;&#1053;%20&#1085;&#1072;%202014%20&#1087;&#1086;%20&#1088;&#1072;&#1081;&#1086;&#1085;&#1072;&#1084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вс 2014 год средние тарифы"/>
      <sheetName val="2011-2012 проверить итоги"/>
      <sheetName val="2013 (нужно посм по итогам)"/>
      <sheetName val="2014"/>
      <sheetName val="2015-2016-2017"/>
      <sheetName val="2015-2016 (без В Н)"/>
      <sheetName val="2017 (прогноз)"/>
      <sheetName val="2015-2016 (4%)"/>
      <sheetName val="тарифы (НВВ) население на 4,2%"/>
      <sheetName val="ТЭ и ВКХ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CO9">
            <v>65.540453493093082</v>
          </cell>
        </row>
        <row r="11">
          <cell r="CO11">
            <v>64.095642789892864</v>
          </cell>
        </row>
        <row r="24">
          <cell r="CO24">
            <v>78.657451727053498</v>
          </cell>
        </row>
        <row r="31">
          <cell r="CL31">
            <v>414.60282847457631</v>
          </cell>
          <cell r="CM31">
            <v>1273.5792939000003</v>
          </cell>
        </row>
        <row r="32">
          <cell r="CL32">
            <v>156.22548940677967</v>
          </cell>
          <cell r="CM32">
            <v>291.71812499999999</v>
          </cell>
        </row>
        <row r="37">
          <cell r="CO37">
            <v>66.430763975258955</v>
          </cell>
        </row>
        <row r="38">
          <cell r="CO38">
            <v>91.667491427705201</v>
          </cell>
        </row>
        <row r="39">
          <cell r="CL39">
            <v>24270.311957889833</v>
          </cell>
          <cell r="CM39">
            <v>40683.817193490002</v>
          </cell>
          <cell r="CO39">
            <v>59.655936026016342</v>
          </cell>
        </row>
        <row r="46">
          <cell r="CO46">
            <v>99.999864322096315</v>
          </cell>
        </row>
        <row r="49">
          <cell r="CO49">
            <v>0</v>
          </cell>
        </row>
        <row r="50">
          <cell r="CO50">
            <v>99.99989097799569</v>
          </cell>
        </row>
        <row r="54">
          <cell r="CO54">
            <v>0</v>
          </cell>
        </row>
        <row r="55">
          <cell r="CO55">
            <v>100.00007558662615</v>
          </cell>
        </row>
        <row r="66">
          <cell r="CO66">
            <v>80.205793819945086</v>
          </cell>
        </row>
        <row r="68">
          <cell r="CL68">
            <v>77496.055199694092</v>
          </cell>
          <cell r="CM68">
            <v>104167.56193573924</v>
          </cell>
        </row>
        <row r="69">
          <cell r="CL69">
            <v>5727.3180350121247</v>
          </cell>
          <cell r="CM69">
            <v>16638.89145303475</v>
          </cell>
        </row>
        <row r="70">
          <cell r="CL70">
            <v>56.88538121617627</v>
          </cell>
          <cell r="CM70">
            <v>260.26060186684799</v>
          </cell>
        </row>
        <row r="71">
          <cell r="CL71">
            <v>2693.5547835580164</v>
          </cell>
          <cell r="CM71">
            <v>6740.2884602087988</v>
          </cell>
        </row>
        <row r="73">
          <cell r="CL73">
            <v>16388.992317509696</v>
          </cell>
          <cell r="CM73">
            <v>25402.75747334848</v>
          </cell>
        </row>
        <row r="82">
          <cell r="CN82">
            <v>84.74576271186443</v>
          </cell>
        </row>
        <row r="84">
          <cell r="CN84">
            <v>100.00031292212481</v>
          </cell>
        </row>
        <row r="85">
          <cell r="CL85">
            <v>1217.467014500339</v>
          </cell>
          <cell r="CM85">
            <v>1217.4317409343998</v>
          </cell>
          <cell r="CN85">
            <v>100.00347580673375</v>
          </cell>
        </row>
        <row r="86">
          <cell r="CN86">
            <v>99.980769562263731</v>
          </cell>
        </row>
        <row r="87">
          <cell r="CN87">
            <v>55.552509932196415</v>
          </cell>
        </row>
        <row r="110">
          <cell r="CO110">
            <v>92.612937055614168</v>
          </cell>
        </row>
        <row r="112">
          <cell r="CO112">
            <v>49.217704257100351</v>
          </cell>
        </row>
        <row r="113">
          <cell r="CO113">
            <v>46.981080365371788</v>
          </cell>
        </row>
        <row r="117">
          <cell r="CO117">
            <v>45.903055031450073</v>
          </cell>
        </row>
        <row r="122">
          <cell r="CO122">
            <v>57.162251421577182</v>
          </cell>
        </row>
        <row r="124">
          <cell r="CO124">
            <v>50.998261867274699</v>
          </cell>
        </row>
        <row r="125">
          <cell r="CO125">
            <v>49.273289383582473</v>
          </cell>
        </row>
        <row r="126">
          <cell r="CO126">
            <v>49.314074351531048</v>
          </cell>
        </row>
        <row r="135">
          <cell r="CO135">
            <v>69.513237517087205</v>
          </cell>
        </row>
        <row r="137">
          <cell r="CO137">
            <v>74.23163821690919</v>
          </cell>
        </row>
        <row r="142">
          <cell r="CL142">
            <v>3355.6424271091651</v>
          </cell>
          <cell r="CM142">
            <v>5688.0200322069204</v>
          </cell>
          <cell r="CO142">
            <v>58.994912256087716</v>
          </cell>
        </row>
        <row r="157">
          <cell r="CO157">
            <v>64.220494871865839</v>
          </cell>
        </row>
        <row r="159">
          <cell r="CL159">
            <v>9411.7930588128711</v>
          </cell>
          <cell r="CM159">
            <v>20692.306926443936</v>
          </cell>
        </row>
        <row r="160">
          <cell r="CL160">
            <v>80.347598424076153</v>
          </cell>
          <cell r="CM160">
            <v>412.71163291904617</v>
          </cell>
        </row>
        <row r="162">
          <cell r="CL162">
            <v>88.713367178786243</v>
          </cell>
          <cell r="CM162">
            <v>207.88284983741937</v>
          </cell>
        </row>
        <row r="169">
          <cell r="CO169">
            <v>99.999287551385365</v>
          </cell>
        </row>
        <row r="174">
          <cell r="CO174">
            <v>80.636531338170116</v>
          </cell>
        </row>
        <row r="176">
          <cell r="CO176">
            <v>55.218149459903429</v>
          </cell>
        </row>
        <row r="177">
          <cell r="CO177">
            <v>74.584523969175848</v>
          </cell>
        </row>
        <row r="182">
          <cell r="CO182">
            <v>65.752754767764955</v>
          </cell>
        </row>
        <row r="184">
          <cell r="CL184">
            <v>5017.9874830754015</v>
          </cell>
          <cell r="CM184">
            <v>11985.572072846227</v>
          </cell>
        </row>
        <row r="185">
          <cell r="CL185">
            <v>249.6197098160464</v>
          </cell>
          <cell r="CM185">
            <v>249.6195794297318</v>
          </cell>
        </row>
        <row r="186">
          <cell r="CO186">
            <v>63.23970476267128</v>
          </cell>
        </row>
        <row r="187">
          <cell r="CO187">
            <v>30.254293415199641</v>
          </cell>
        </row>
        <row r="188">
          <cell r="CO188">
            <v>27.992339290548792</v>
          </cell>
        </row>
        <row r="190">
          <cell r="CO190">
            <v>89.787169091555285</v>
          </cell>
        </row>
        <row r="196">
          <cell r="CO196">
            <v>60.525332593690869</v>
          </cell>
        </row>
        <row r="198">
          <cell r="CL198">
            <v>108656.78193640018</v>
          </cell>
          <cell r="CM198">
            <v>222956.09120421807</v>
          </cell>
        </row>
        <row r="199">
          <cell r="CL199">
            <v>8125.7136163537389</v>
          </cell>
          <cell r="CM199">
            <v>41296.218262529081</v>
          </cell>
        </row>
        <row r="200">
          <cell r="CL200">
            <v>2982.5901856878927</v>
          </cell>
          <cell r="CM200">
            <v>11397.001297425661</v>
          </cell>
        </row>
        <row r="201">
          <cell r="CL201">
            <v>50.986652542372873</v>
          </cell>
          <cell r="CM201">
            <v>282.45142979999991</v>
          </cell>
        </row>
        <row r="203">
          <cell r="CL203">
            <v>20817.606929648828</v>
          </cell>
          <cell r="CM203">
            <v>22036.043532336287</v>
          </cell>
        </row>
        <row r="204">
          <cell r="CL204">
            <v>3472.1030818316881</v>
          </cell>
          <cell r="CM204">
            <v>5080.2007698970529</v>
          </cell>
        </row>
        <row r="206">
          <cell r="CL206">
            <v>26595.254222707848</v>
          </cell>
          <cell r="CM206">
            <v>41689.666223753731</v>
          </cell>
        </row>
        <row r="208">
          <cell r="CL208">
            <v>19867.003219428752</v>
          </cell>
          <cell r="CM208">
            <v>29115.67289760293</v>
          </cell>
        </row>
        <row r="209">
          <cell r="CL209">
            <v>1042.8249257516861</v>
          </cell>
          <cell r="CM209">
            <v>1652.519125765737</v>
          </cell>
        </row>
        <row r="238">
          <cell r="CO238">
            <v>61.684124579384445</v>
          </cell>
        </row>
        <row r="240">
          <cell r="CL240">
            <v>48099.589040694926</v>
          </cell>
          <cell r="CM240">
            <v>88852.682072540003</v>
          </cell>
        </row>
        <row r="241">
          <cell r="CL241">
            <v>3911.6323227932207</v>
          </cell>
          <cell r="CM241">
            <v>18185.120369447999</v>
          </cell>
        </row>
        <row r="242">
          <cell r="CL242">
            <v>157.70276392881362</v>
          </cell>
          <cell r="CM242">
            <v>1008.9301352220002</v>
          </cell>
        </row>
        <row r="244">
          <cell r="CL244">
            <v>6394.564735423729</v>
          </cell>
          <cell r="CM244">
            <v>18231.734029799998</v>
          </cell>
        </row>
        <row r="265">
          <cell r="CO265">
            <v>65.099996842503955</v>
          </cell>
        </row>
        <row r="267">
          <cell r="CL267">
            <v>26043.129920726049</v>
          </cell>
          <cell r="CM267">
            <v>44606.195390352674</v>
          </cell>
        </row>
        <row r="268">
          <cell r="CL268">
            <v>639.02789274239956</v>
          </cell>
          <cell r="CM268">
            <v>2626.147058035092</v>
          </cell>
        </row>
        <row r="270">
          <cell r="CL270">
            <v>2866.6483075722713</v>
          </cell>
          <cell r="CM270">
            <v>6857.5815463963199</v>
          </cell>
        </row>
        <row r="282">
          <cell r="CO282">
            <v>53.209816444861303</v>
          </cell>
        </row>
        <row r="284">
          <cell r="CL284">
            <v>20859.882057785861</v>
          </cell>
          <cell r="CM284">
            <v>53069.421282690317</v>
          </cell>
        </row>
        <row r="285">
          <cell r="CL285">
            <v>7885.3668364318883</v>
          </cell>
          <cell r="CM285">
            <v>27383.79185529906</v>
          </cell>
        </row>
        <row r="286">
          <cell r="CL286">
            <v>5401.3303445820075</v>
          </cell>
          <cell r="CM286">
            <v>11385.891571466373</v>
          </cell>
        </row>
        <row r="288">
          <cell r="CL288">
            <v>7014.4613444915258</v>
          </cell>
          <cell r="CM288">
            <v>16031.895416499998</v>
          </cell>
        </row>
        <row r="289">
          <cell r="CL289">
            <v>1533.0141000000003</v>
          </cell>
          <cell r="CM289">
            <v>3103.2736515000001</v>
          </cell>
        </row>
        <row r="290">
          <cell r="CL290">
            <v>2815.2765000000004</v>
          </cell>
          <cell r="CM290">
            <v>8353.0143112500009</v>
          </cell>
        </row>
        <row r="301">
          <cell r="N301">
            <v>19200</v>
          </cell>
          <cell r="R301">
            <v>46635</v>
          </cell>
        </row>
        <row r="306">
          <cell r="CO306">
            <v>77.704370086726655</v>
          </cell>
        </row>
        <row r="308">
          <cell r="CO308">
            <v>39.952662748620781</v>
          </cell>
        </row>
        <row r="309">
          <cell r="CO309">
            <v>51.496812621082292</v>
          </cell>
        </row>
        <row r="310">
          <cell r="CO310">
            <v>76.319572317640123</v>
          </cell>
        </row>
        <row r="318">
          <cell r="CO318">
            <v>60.627095634698968</v>
          </cell>
        </row>
        <row r="320">
          <cell r="CO320">
            <v>62.501081259611226</v>
          </cell>
        </row>
        <row r="322">
          <cell r="CL322">
            <v>2171.2228796271183</v>
          </cell>
          <cell r="CM322">
            <v>3247.8849688199998</v>
          </cell>
        </row>
        <row r="335">
          <cell r="CO335">
            <v>49.500968390805596</v>
          </cell>
        </row>
        <row r="336">
          <cell r="CL336">
            <v>5359.5310827249159</v>
          </cell>
          <cell r="CM336">
            <v>8716.694445000001</v>
          </cell>
        </row>
        <row r="341">
          <cell r="CO341">
            <v>85.831349357248072</v>
          </cell>
        </row>
        <row r="343">
          <cell r="CL343">
            <v>91251.177409947733</v>
          </cell>
          <cell r="CM343">
            <v>127476.39839243352</v>
          </cell>
        </row>
        <row r="345">
          <cell r="CL345">
            <v>14590.357994169492</v>
          </cell>
          <cell r="CM345">
            <v>21119.679710160002</v>
          </cell>
        </row>
        <row r="352">
          <cell r="CL352">
            <v>1645.2610114703264</v>
          </cell>
          <cell r="CM352">
            <v>1645.2581655519082</v>
          </cell>
        </row>
        <row r="353">
          <cell r="CL353">
            <v>1002.6912602093835</v>
          </cell>
          <cell r="CM353">
            <v>4422.2989556124976</v>
          </cell>
        </row>
        <row r="354">
          <cell r="CL354">
            <v>424.93711304840753</v>
          </cell>
          <cell r="CM354">
            <v>424.93637800615699</v>
          </cell>
        </row>
        <row r="356">
          <cell r="CO356">
            <v>99.999694292369838</v>
          </cell>
        </row>
        <row r="357">
          <cell r="CL357">
            <v>1490.3058467796611</v>
          </cell>
          <cell r="CM357">
            <v>1490.3247911999999</v>
          </cell>
        </row>
        <row r="363">
          <cell r="CO363">
            <v>99.999899030529562</v>
          </cell>
        </row>
        <row r="365">
          <cell r="CO365">
            <v>99.999974572931009</v>
          </cell>
        </row>
        <row r="366">
          <cell r="CL366">
            <v>6922.2311902683396</v>
          </cell>
          <cell r="CM366">
            <v>6922.20208219696</v>
          </cell>
        </row>
        <row r="389">
          <cell r="CO389">
            <v>76.251934697992837</v>
          </cell>
        </row>
        <row r="391">
          <cell r="CO391">
            <v>57.805154031590753</v>
          </cell>
        </row>
        <row r="403">
          <cell r="CO403">
            <v>55.44825661281515</v>
          </cell>
        </row>
        <row r="405">
          <cell r="CO405">
            <v>26.048271780065228</v>
          </cell>
        </row>
        <row r="408">
          <cell r="CO408">
            <v>96.09110039939857</v>
          </cell>
        </row>
        <row r="409">
          <cell r="CL409">
            <v>517.64319838983056</v>
          </cell>
          <cell r="CM409">
            <v>1271.3506608</v>
          </cell>
        </row>
        <row r="419">
          <cell r="CO419">
            <v>59.963957334346162</v>
          </cell>
        </row>
        <row r="420">
          <cell r="CN420">
            <v>100.00017004691455</v>
          </cell>
        </row>
        <row r="422">
          <cell r="CO422">
            <v>57.912141907434908</v>
          </cell>
        </row>
        <row r="424">
          <cell r="CO424">
            <v>100.00126078496474</v>
          </cell>
        </row>
        <row r="433">
          <cell r="CO433">
            <v>74.506605206615632</v>
          </cell>
        </row>
        <row r="435">
          <cell r="CL435">
            <v>74825.509972797983</v>
          </cell>
          <cell r="CM435">
            <v>106974.9555205395</v>
          </cell>
        </row>
        <row r="436">
          <cell r="CL436">
            <v>1214.8193043714882</v>
          </cell>
          <cell r="CM436">
            <v>3755.0395818154871</v>
          </cell>
        </row>
        <row r="437">
          <cell r="CO437">
            <v>60.754872978854515</v>
          </cell>
        </row>
        <row r="438">
          <cell r="CL438">
            <v>22400.623999118648</v>
          </cell>
          <cell r="CM438">
            <v>29328.503686399999</v>
          </cell>
          <cell r="CO438">
            <v>76.378339101923231</v>
          </cell>
        </row>
        <row r="439">
          <cell r="CO439">
            <v>63.400984507552714</v>
          </cell>
        </row>
        <row r="440">
          <cell r="CO440">
            <v>70.219149266341375</v>
          </cell>
        </row>
        <row r="454">
          <cell r="CO454">
            <v>83.72594061886511</v>
          </cell>
        </row>
        <row r="456">
          <cell r="CL456">
            <v>34380.353026067227</v>
          </cell>
          <cell r="CM456">
            <v>45244.667201566874</v>
          </cell>
        </row>
        <row r="457">
          <cell r="CL457">
            <v>2500.8482588498364</v>
          </cell>
          <cell r="CM457">
            <v>2500.8434206833458</v>
          </cell>
        </row>
        <row r="458">
          <cell r="CL458">
            <v>600.87172699382643</v>
          </cell>
          <cell r="CM458">
            <v>1965.0989417445578</v>
          </cell>
        </row>
        <row r="459">
          <cell r="CL459">
            <v>184.22814092814195</v>
          </cell>
          <cell r="CM459">
            <v>184.22802578855232</v>
          </cell>
        </row>
        <row r="461">
          <cell r="CL461">
            <v>4401.0304567372887</v>
          </cell>
          <cell r="CM461">
            <v>5312.9065350000001</v>
          </cell>
        </row>
        <row r="471">
          <cell r="CN471">
            <v>100.00009873107622</v>
          </cell>
        </row>
        <row r="481">
          <cell r="CO481">
            <v>69.794939701434828</v>
          </cell>
        </row>
        <row r="483">
          <cell r="CL483">
            <v>13382.330244769251</v>
          </cell>
          <cell r="CM483">
            <v>16206.501328828666</v>
          </cell>
        </row>
        <row r="484">
          <cell r="CL484">
            <v>4512.5674977680701</v>
          </cell>
          <cell r="CM484">
            <v>9657.0030916903233</v>
          </cell>
        </row>
        <row r="496">
          <cell r="CO496">
            <v>99.991636484155364</v>
          </cell>
        </row>
        <row r="510">
          <cell r="CN510">
            <v>99.999935687655537</v>
          </cell>
        </row>
        <row r="546">
          <cell r="CO546">
            <v>57.185352032936244</v>
          </cell>
        </row>
        <row r="560">
          <cell r="CO560">
            <v>77.222098075986935</v>
          </cell>
        </row>
        <row r="561">
          <cell r="CO561">
            <v>84.790306738461524</v>
          </cell>
        </row>
        <row r="562">
          <cell r="CO562">
            <v>81.319809266496847</v>
          </cell>
        </row>
        <row r="563">
          <cell r="CO563">
            <v>81.055978515807041</v>
          </cell>
        </row>
        <row r="566">
          <cell r="CO566">
            <v>99.993854387124671</v>
          </cell>
        </row>
        <row r="569">
          <cell r="CL569">
            <v>5068281.215004174</v>
          </cell>
          <cell r="CM569">
            <v>6064103.233110344</v>
          </cell>
          <cell r="CO569">
            <v>83.57841250675078</v>
          </cell>
        </row>
      </sheetData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Ц по кустам (2)"/>
      <sheetName val="СЦЕН УСЛОВ "/>
      <sheetName val="КЦ по кустам"/>
      <sheetName val="ФМалВ"/>
      <sheetName val="ФЧуд"/>
      <sheetName val="Чудово"/>
      <sheetName val="Новгородский"/>
      <sheetName val="Валдай"/>
      <sheetName val="г.Старая Русса"/>
      <sheetName val="Хвойная "/>
      <sheetName val="Боровичи ВКХ"/>
      <sheetName val="Пестово"/>
      <sheetName val="Шимск"/>
      <sheetName val="Холм"/>
      <sheetName val="Крестцы"/>
      <sheetName val="Окуловка"/>
      <sheetName val="Парфино"/>
      <sheetName val="БКСС"/>
      <sheetName val="Любытино"/>
      <sheetName val=" Ст.Русса ЖКХ"/>
      <sheetName val="Демянский"/>
      <sheetName val="Мошенское"/>
      <sheetName val="Солецкий"/>
      <sheetName val="Лист23"/>
    </sheetNames>
    <sheetDataSet>
      <sheetData sheetId="0"/>
      <sheetData sheetId="1"/>
      <sheetData sheetId="2"/>
      <sheetData sheetId="3">
        <row r="1004">
          <cell r="X1004">
            <v>4.3637546799500004</v>
          </cell>
        </row>
      </sheetData>
      <sheetData sheetId="4">
        <row r="45">
          <cell r="T45">
            <v>74.531229999999994</v>
          </cell>
        </row>
      </sheetData>
      <sheetData sheetId="5"/>
      <sheetData sheetId="6">
        <row r="44">
          <cell r="X44">
            <v>129.71091999999999</v>
          </cell>
        </row>
      </sheetData>
      <sheetData sheetId="7">
        <row r="44">
          <cell r="X44">
            <v>107.82865</v>
          </cell>
        </row>
      </sheetData>
      <sheetData sheetId="8">
        <row r="45">
          <cell r="X45">
            <v>91.62979</v>
          </cell>
        </row>
      </sheetData>
      <sheetData sheetId="9">
        <row r="45">
          <cell r="AD45">
            <v>4.92354</v>
          </cell>
        </row>
      </sheetData>
      <sheetData sheetId="10">
        <row r="44">
          <cell r="X44">
            <v>231.28702999999999</v>
          </cell>
        </row>
      </sheetData>
      <sheetData sheetId="11">
        <row r="45">
          <cell r="AI45">
            <v>10.022550000000001</v>
          </cell>
          <cell r="AT45">
            <v>19.199570000000001</v>
          </cell>
          <cell r="CA45">
            <v>12.091839999999999</v>
          </cell>
        </row>
        <row r="46">
          <cell r="AI46">
            <v>7.5392000000000001</v>
          </cell>
          <cell r="AT46">
            <v>3.6920899999999999</v>
          </cell>
          <cell r="CA46">
            <v>3.0358299999999998</v>
          </cell>
        </row>
        <row r="50">
          <cell r="AI50">
            <v>2.8949500000000001</v>
          </cell>
          <cell r="AT50">
            <v>0.37229000000000001</v>
          </cell>
          <cell r="CA50">
            <v>1.34222</v>
          </cell>
        </row>
        <row r="51">
          <cell r="AI51">
            <v>1.3053399999999999</v>
          </cell>
          <cell r="AT51">
            <v>2.2100000000000002E-3</v>
          </cell>
          <cell r="CA51">
            <v>0.02</v>
          </cell>
        </row>
      </sheetData>
      <sheetData sheetId="12">
        <row r="45">
          <cell r="T45">
            <v>0.51141999999999999</v>
          </cell>
        </row>
      </sheetData>
      <sheetData sheetId="13"/>
      <sheetData sheetId="14">
        <row r="45">
          <cell r="X45">
            <v>20.340669999999999</v>
          </cell>
        </row>
      </sheetData>
      <sheetData sheetId="15">
        <row r="45">
          <cell r="X45">
            <v>52.536239999999999</v>
          </cell>
        </row>
      </sheetData>
      <sheetData sheetId="16">
        <row r="45">
          <cell r="X45">
            <v>25.14716</v>
          </cell>
        </row>
      </sheetData>
      <sheetData sheetId="17">
        <row r="45">
          <cell r="X45">
            <v>0.98365000000000002</v>
          </cell>
        </row>
      </sheetData>
      <sheetData sheetId="18">
        <row r="44">
          <cell r="AI44">
            <v>11.302490000000001</v>
          </cell>
        </row>
      </sheetData>
      <sheetData sheetId="19">
        <row r="45">
          <cell r="X45">
            <v>2.7512699999999999</v>
          </cell>
        </row>
      </sheetData>
      <sheetData sheetId="20"/>
      <sheetData sheetId="21"/>
      <sheetData sheetId="22">
        <row r="45">
          <cell r="AP45">
            <v>10.925689999999999</v>
          </cell>
        </row>
      </sheetData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тарифы (12-13) население 15%"/>
      <sheetName val="тарифы (НВВ) население на 12%"/>
      <sheetName val="сокращенно объем ,нвв"/>
      <sheetName val="2012(объемы годовые)"/>
      <sheetName val="уровень платежа граждан 11-12 г"/>
      <sheetName val="анализ 2012-2013 НЖКС"/>
      <sheetName val="с индексом на 2013 год"/>
      <sheetName val="тарифы (НВВ) население на тк"/>
      <sheetName val="сравнит табл средних тарифов"/>
      <sheetName val="Лист2"/>
      <sheetName val="Лист1"/>
      <sheetName val="тарифы (НВВ) население на 1 (2)"/>
      <sheetName val="Лист4"/>
      <sheetName val="тарифы (2013) нвв на годовые"/>
      <sheetName val="средние тарифы (объемы годовые)"/>
      <sheetName val="уровень платежа граждан"/>
    </sheetNames>
    <sheetDataSet>
      <sheetData sheetId="0"/>
      <sheetData sheetId="1">
        <row r="7">
          <cell r="AP7" t="str">
            <v>с 01.07.2013-31.12.2013</v>
          </cell>
        </row>
        <row r="43">
          <cell r="AP43">
            <v>1127.3</v>
          </cell>
        </row>
        <row r="47">
          <cell r="AP47">
            <v>941.49</v>
          </cell>
        </row>
        <row r="52">
          <cell r="AP52">
            <v>1170.44</v>
          </cell>
        </row>
        <row r="78">
          <cell r="AP78">
            <v>1749.07</v>
          </cell>
        </row>
        <row r="80">
          <cell r="AP80">
            <v>974.31</v>
          </cell>
        </row>
        <row r="81">
          <cell r="AP81">
            <v>54.61</v>
          </cell>
        </row>
        <row r="82">
          <cell r="AP82">
            <v>9.1</v>
          </cell>
        </row>
        <row r="83">
          <cell r="AP83">
            <v>14.28</v>
          </cell>
        </row>
        <row r="113">
          <cell r="AP113">
            <v>2184.63</v>
          </cell>
        </row>
        <row r="162">
          <cell r="AP162">
            <v>72.64</v>
          </cell>
        </row>
        <row r="222">
          <cell r="AP222">
            <v>25.01</v>
          </cell>
        </row>
        <row r="250">
          <cell r="AP250">
            <v>55.25</v>
          </cell>
        </row>
        <row r="289">
          <cell r="AP289">
            <v>54.76</v>
          </cell>
        </row>
        <row r="322">
          <cell r="AP322">
            <v>2535.7600000000002</v>
          </cell>
        </row>
        <row r="323">
          <cell r="AP323">
            <v>201.52</v>
          </cell>
        </row>
        <row r="342">
          <cell r="AP342">
            <v>1201.72</v>
          </cell>
        </row>
        <row r="343">
          <cell r="AP343">
            <v>93.08</v>
          </cell>
        </row>
        <row r="349">
          <cell r="AP349">
            <v>1105.93</v>
          </cell>
        </row>
        <row r="351">
          <cell r="AP351">
            <v>1448.45</v>
          </cell>
        </row>
        <row r="352">
          <cell r="AP352">
            <v>103.82</v>
          </cell>
        </row>
        <row r="404">
          <cell r="AP404">
            <v>1115.5</v>
          </cell>
        </row>
        <row r="405">
          <cell r="AP405">
            <v>28.17</v>
          </cell>
        </row>
        <row r="407">
          <cell r="AP407">
            <v>1115.5</v>
          </cell>
        </row>
        <row r="409">
          <cell r="AP409">
            <v>24.98</v>
          </cell>
        </row>
        <row r="453">
          <cell r="AP453">
            <v>1742.1</v>
          </cell>
        </row>
        <row r="511">
          <cell r="AP511">
            <v>21.75</v>
          </cell>
        </row>
        <row r="512">
          <cell r="AP512">
            <v>15.58</v>
          </cell>
        </row>
      </sheetData>
      <sheetData sheetId="2">
        <row r="32">
          <cell r="CV32">
            <v>39.06</v>
          </cell>
        </row>
      </sheetData>
      <sheetData sheetId="3">
        <row r="32">
          <cell r="CV32">
            <v>39.06</v>
          </cell>
        </row>
      </sheetData>
      <sheetData sheetId="4">
        <row r="7">
          <cell r="M7">
            <v>6170.11</v>
          </cell>
          <cell r="Q7">
            <v>4325.1099999999997</v>
          </cell>
          <cell r="U7">
            <v>393.93</v>
          </cell>
          <cell r="Y7">
            <v>272.73</v>
          </cell>
        </row>
        <row r="37">
          <cell r="M37">
            <v>1787</v>
          </cell>
          <cell r="U37">
            <v>4480</v>
          </cell>
        </row>
        <row r="40">
          <cell r="M40">
            <v>0</v>
          </cell>
          <cell r="U40">
            <v>0</v>
          </cell>
          <cell r="Y40">
            <v>0</v>
          </cell>
        </row>
        <row r="41">
          <cell r="M41">
            <v>272</v>
          </cell>
          <cell r="U41">
            <v>0</v>
          </cell>
          <cell r="Y41">
            <v>6062</v>
          </cell>
        </row>
        <row r="46">
          <cell r="M46">
            <v>41775</v>
          </cell>
          <cell r="Q46">
            <v>8372</v>
          </cell>
          <cell r="U46">
            <v>4253</v>
          </cell>
          <cell r="Y46">
            <v>31580</v>
          </cell>
        </row>
        <row r="69">
          <cell r="M69">
            <v>388.43</v>
          </cell>
          <cell r="Q69">
            <v>0</v>
          </cell>
          <cell r="U69">
            <v>170.06</v>
          </cell>
          <cell r="Y69">
            <v>127.9</v>
          </cell>
        </row>
        <row r="71">
          <cell r="M71">
            <v>5733.32</v>
          </cell>
          <cell r="Q71">
            <v>628.03</v>
          </cell>
          <cell r="U71">
            <v>161.59</v>
          </cell>
          <cell r="Y71">
            <v>22350.85</v>
          </cell>
        </row>
        <row r="72">
          <cell r="M72">
            <v>39600</v>
          </cell>
          <cell r="Q72">
            <v>700</v>
          </cell>
          <cell r="U72">
            <v>900</v>
          </cell>
          <cell r="Y72">
            <v>154400</v>
          </cell>
        </row>
        <row r="73">
          <cell r="M73">
            <v>27996.400000000001</v>
          </cell>
          <cell r="Q73">
            <v>0</v>
          </cell>
          <cell r="U73">
            <v>31733</v>
          </cell>
          <cell r="Y73">
            <v>0</v>
          </cell>
        </row>
        <row r="74">
          <cell r="M74">
            <v>39600</v>
          </cell>
          <cell r="Q74">
            <v>700</v>
          </cell>
          <cell r="U74">
            <v>900</v>
          </cell>
          <cell r="Y74">
            <v>154400</v>
          </cell>
        </row>
        <row r="207">
          <cell r="I207">
            <v>574.39</v>
          </cell>
          <cell r="Q207">
            <v>226.65</v>
          </cell>
          <cell r="U207">
            <v>0</v>
          </cell>
          <cell r="Y207">
            <v>347.74</v>
          </cell>
        </row>
        <row r="235">
          <cell r="M235">
            <v>333081.59999999998</v>
          </cell>
          <cell r="Q235">
            <v>50953.8</v>
          </cell>
          <cell r="U235">
            <v>59924.46</v>
          </cell>
          <cell r="Y235">
            <v>188570.9</v>
          </cell>
        </row>
        <row r="236">
          <cell r="M236">
            <v>12806.85</v>
          </cell>
          <cell r="Q236">
            <v>0</v>
          </cell>
          <cell r="U236">
            <v>0</v>
          </cell>
          <cell r="Y236">
            <v>0</v>
          </cell>
        </row>
        <row r="237">
          <cell r="M237">
            <v>43031.53</v>
          </cell>
          <cell r="Q237">
            <v>6130.38</v>
          </cell>
          <cell r="U237">
            <v>3130.24</v>
          </cell>
          <cell r="Y237">
            <v>0</v>
          </cell>
        </row>
        <row r="238">
          <cell r="M238">
            <v>86458.559999999998</v>
          </cell>
          <cell r="Q238">
            <v>21589.31</v>
          </cell>
          <cell r="U238">
            <v>395.36</v>
          </cell>
          <cell r="Y238">
            <v>0</v>
          </cell>
        </row>
        <row r="239">
          <cell r="M239">
            <v>310847.09999999998</v>
          </cell>
          <cell r="Q239">
            <v>86643.199999999997</v>
          </cell>
          <cell r="U239">
            <v>77368.399999999994</v>
          </cell>
          <cell r="Y239">
            <v>15285.3</v>
          </cell>
        </row>
        <row r="242">
          <cell r="I242">
            <v>1420.7</v>
          </cell>
          <cell r="M242">
            <v>0</v>
          </cell>
          <cell r="Q242">
            <v>1390</v>
          </cell>
          <cell r="U242">
            <v>30.7</v>
          </cell>
          <cell r="Y242">
            <v>0</v>
          </cell>
        </row>
        <row r="257">
          <cell r="I257">
            <v>375.98</v>
          </cell>
          <cell r="Q257">
            <v>367.85</v>
          </cell>
          <cell r="U257">
            <v>8.1300000000000008</v>
          </cell>
          <cell r="Y257">
            <v>0</v>
          </cell>
        </row>
        <row r="293">
          <cell r="I293">
            <v>22960</v>
          </cell>
          <cell r="M293">
            <v>4020</v>
          </cell>
          <cell r="Q293">
            <v>0</v>
          </cell>
          <cell r="U293">
            <v>190</v>
          </cell>
          <cell r="Y293">
            <v>18750</v>
          </cell>
        </row>
        <row r="294">
          <cell r="I294">
            <v>122000</v>
          </cell>
          <cell r="M294">
            <v>20100</v>
          </cell>
          <cell r="Q294">
            <v>0</v>
          </cell>
          <cell r="U294">
            <v>400</v>
          </cell>
          <cell r="Y294">
            <v>101500</v>
          </cell>
        </row>
        <row r="300">
          <cell r="I300">
            <v>11435</v>
          </cell>
          <cell r="M300">
            <v>292</v>
          </cell>
          <cell r="Q300">
            <v>500</v>
          </cell>
          <cell r="U300">
            <v>668</v>
          </cell>
          <cell r="Y300">
            <v>9975</v>
          </cell>
        </row>
        <row r="302">
          <cell r="I302">
            <v>18133.72</v>
          </cell>
          <cell r="M302">
            <v>16598.38</v>
          </cell>
          <cell r="Q302">
            <v>1068.4000000000001</v>
          </cell>
          <cell r="U302">
            <v>466.94</v>
          </cell>
          <cell r="Y302">
            <v>0</v>
          </cell>
        </row>
        <row r="303">
          <cell r="I303">
            <v>84950.11</v>
          </cell>
          <cell r="M303">
            <v>82534.42</v>
          </cell>
          <cell r="Q303">
            <v>0</v>
          </cell>
          <cell r="U303">
            <v>2415.69</v>
          </cell>
          <cell r="Y303">
            <v>0</v>
          </cell>
        </row>
        <row r="342">
          <cell r="I342">
            <v>4691</v>
          </cell>
          <cell r="M342">
            <v>659</v>
          </cell>
          <cell r="Q342">
            <v>0</v>
          </cell>
          <cell r="U342">
            <v>260</v>
          </cell>
          <cell r="Y342">
            <v>3772</v>
          </cell>
        </row>
        <row r="343">
          <cell r="I343">
            <v>11200</v>
          </cell>
          <cell r="M343">
            <v>3085.68</v>
          </cell>
          <cell r="Q343">
            <v>0</v>
          </cell>
          <cell r="U343">
            <v>34</v>
          </cell>
          <cell r="Y343">
            <v>8080.32</v>
          </cell>
        </row>
        <row r="345">
          <cell r="I345">
            <v>4180.08</v>
          </cell>
          <cell r="M345">
            <v>306</v>
          </cell>
          <cell r="Q345">
            <v>522</v>
          </cell>
          <cell r="U345">
            <v>149</v>
          </cell>
          <cell r="Y345">
            <v>3203.08</v>
          </cell>
        </row>
        <row r="380">
          <cell r="I380">
            <v>13507</v>
          </cell>
          <cell r="M380">
            <v>2413</v>
          </cell>
          <cell r="Q380">
            <v>258</v>
          </cell>
          <cell r="U380">
            <v>205</v>
          </cell>
          <cell r="Y380">
            <v>10631</v>
          </cell>
        </row>
        <row r="426">
          <cell r="Q426">
            <v>490</v>
          </cell>
          <cell r="U426">
            <v>2460</v>
          </cell>
          <cell r="Y426">
            <v>3070</v>
          </cell>
        </row>
      </sheetData>
      <sheetData sheetId="5">
        <row r="11">
          <cell r="M11">
            <v>3409.6027859999999</v>
          </cell>
          <cell r="N11">
            <v>919.96340099999998</v>
          </cell>
          <cell r="O11">
            <v>1840.543813</v>
          </cell>
          <cell r="Q11">
            <v>2390.0557859999999</v>
          </cell>
          <cell r="R11">
            <v>644.87390100000005</v>
          </cell>
          <cell r="S11">
            <v>1290.1803130000001</v>
          </cell>
          <cell r="U11">
            <v>217.68571800000001</v>
          </cell>
          <cell r="V11">
            <v>58.734963</v>
          </cell>
          <cell r="W11">
            <v>117.509319</v>
          </cell>
          <cell r="Y11">
            <v>150.710598</v>
          </cell>
          <cell r="Z11">
            <v>40.664042999999999</v>
          </cell>
          <cell r="AA11">
            <v>81.355359000000007</v>
          </cell>
        </row>
        <row r="237">
          <cell r="M237">
            <v>7077.06531</v>
          </cell>
          <cell r="N237">
            <v>1909.5013349999999</v>
          </cell>
          <cell r="O237">
            <v>3820.283355</v>
          </cell>
          <cell r="Q237">
            <v>0</v>
          </cell>
          <cell r="R237">
            <v>0</v>
          </cell>
          <cell r="S237">
            <v>0</v>
          </cell>
          <cell r="U237">
            <v>0</v>
          </cell>
          <cell r="V237">
            <v>0</v>
          </cell>
          <cell r="W237">
            <v>0</v>
          </cell>
          <cell r="Y237">
            <v>0</v>
          </cell>
          <cell r="Z237">
            <v>0</v>
          </cell>
          <cell r="AA237">
            <v>0</v>
          </cell>
        </row>
        <row r="238">
          <cell r="M238">
            <v>23779.223478</v>
          </cell>
          <cell r="N238">
            <v>6416.001123</v>
          </cell>
          <cell r="O238">
            <v>12836.305399000001</v>
          </cell>
          <cell r="Q238">
            <v>3387.6479880000002</v>
          </cell>
          <cell r="R238">
            <v>914.03965800000003</v>
          </cell>
          <cell r="S238">
            <v>1828.692354</v>
          </cell>
          <cell r="U238">
            <v>1729.770624</v>
          </cell>
          <cell r="V238">
            <v>466.71878400000003</v>
          </cell>
          <cell r="W238">
            <v>933.75059199999998</v>
          </cell>
          <cell r="Y238">
            <v>0</v>
          </cell>
          <cell r="Z238">
            <v>0</v>
          </cell>
          <cell r="AA238">
            <v>0</v>
          </cell>
        </row>
        <row r="239">
          <cell r="M239">
            <v>47777.000255999999</v>
          </cell>
          <cell r="N239">
            <v>12890.971296</v>
          </cell>
          <cell r="O239">
            <v>25790.588447999999</v>
          </cell>
          <cell r="Q239">
            <v>11930.252705999999</v>
          </cell>
          <cell r="R239">
            <v>3218.9661209999999</v>
          </cell>
          <cell r="S239">
            <v>6440.0911729999998</v>
          </cell>
          <cell r="U239">
            <v>218.47593599999999</v>
          </cell>
          <cell r="V239">
            <v>58.948175999999997</v>
          </cell>
          <cell r="W239">
            <v>117.93588800000001</v>
          </cell>
          <cell r="Y239">
            <v>0</v>
          </cell>
          <cell r="Z239">
            <v>0</v>
          </cell>
          <cell r="AA239">
            <v>0</v>
          </cell>
        </row>
      </sheetData>
      <sheetData sheetId="6">
        <row r="11">
          <cell r="M11">
            <v>3409.6027859999999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Instruction"/>
      <sheetName val="Лог обновления"/>
      <sheetName val="Титульный"/>
      <sheetName val="Результаты загрузки"/>
      <sheetName val="modUIButtons"/>
      <sheetName val="Список организаций"/>
      <sheetName val="modGetGeoBase"/>
      <sheetName val="TECHSHEET"/>
      <sheetName val="TECH_GENERAL"/>
      <sheetName val="TECH_HORISONTAL"/>
      <sheetName val="ТС.HEAT matrix PP"/>
      <sheetName val="ТС.HEAT matrix TR"/>
      <sheetName val="ВС.VSNA matrix PP"/>
      <sheetName val="ВО.VOTV matrix PP"/>
      <sheetName val="ТС.БПр"/>
      <sheetName val="ТС.БТр"/>
      <sheetName val="ТС.Заявление"/>
      <sheetName val="ТС.Расчёт с ДФ"/>
      <sheetName val="ТС.ДФ"/>
      <sheetName val="ТС.К"/>
      <sheetName val="ТС.К Энергия"/>
      <sheetName val="ТС.К (к)"/>
      <sheetName val="ТС.К (к) Энергия"/>
      <sheetName val="ТС.Т"/>
      <sheetName val="ТС.Т Тр"/>
      <sheetName val="ТС.ТМ1"/>
      <sheetName val="ТС.ТМ2"/>
      <sheetName val="БПр"/>
      <sheetName val="БТр"/>
      <sheetName val="ВС.Заявление"/>
      <sheetName val="ВС.Расчёт с ДФ"/>
      <sheetName val="ВС.ДФ"/>
      <sheetName val="К"/>
      <sheetName val="ТМ1"/>
      <sheetName val="ТМ2"/>
      <sheetName val="ВО.БПр"/>
      <sheetName val="ВО.БТр"/>
      <sheetName val="ВО.Заявление"/>
      <sheetName val="ВО.Расчёт с ДФ"/>
      <sheetName val="ВО.ДФ"/>
      <sheetName val="ВО.К"/>
      <sheetName val="ВО.ТМ1"/>
      <sheetName val="ВО.ТМ2"/>
      <sheetName val="ТБО.ДФ"/>
      <sheetName val="ТБО.К"/>
      <sheetName val="КоммМО"/>
      <sheetName val="Комментарии"/>
      <sheetName val="ТС.ПП ОРГ"/>
      <sheetName val="ТС.ПП МО"/>
      <sheetName val="ТС.ТР ОРГ"/>
      <sheetName val="ТС.ТР МО"/>
      <sheetName val="ВС.ПП ОРГ"/>
      <sheetName val="ВС.ПП МО"/>
      <sheetName val="ВО.ПП ОРГ"/>
      <sheetName val="ВО.ПП МО"/>
      <sheetName val="Проверка"/>
      <sheetName val="modLoadFiles"/>
      <sheetName val="modSVODProv"/>
      <sheetName val="modUpdateToActualVersion"/>
      <sheetName val="modLoad"/>
      <sheetName val="modUpdDelRenumber"/>
      <sheetName val="modGeneralProcedures"/>
      <sheetName val="modOpen"/>
      <sheetName val="modCommonProcedures"/>
      <sheetName val="modfrmRegion"/>
      <sheetName val="modSvodButtons"/>
      <sheetName val="modInfo"/>
      <sheetName val="modUpdTemplMain"/>
      <sheetName val="modfrmCheckUpdates"/>
      <sheetName val="modfrmReportMode"/>
      <sheetName val="PLAN1X_COUNT"/>
      <sheetName val="AUTHORISATION"/>
      <sheetName val="modfrmPLAN1XUpdateIsInProgress"/>
      <sheetName val="modCommandButton"/>
      <sheetName val="modHEATPP"/>
      <sheetName val="modHEATTR"/>
      <sheetName val="modVSNAPP"/>
      <sheetName val="modVOTVPP"/>
      <sheetName val="modVLDCommonProv"/>
      <sheetName val="modVLDIntegrityProv"/>
      <sheetName val="modVLDProv"/>
      <sheetName val="modVLDProvGeneralProc"/>
      <sheetName val="modVLDOrgUniqueness"/>
      <sheetName val="modVLDProvT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38">
          <cell r="AB138">
            <v>6075</v>
          </cell>
        </row>
        <row r="170">
          <cell r="AB170">
            <v>324570</v>
          </cell>
          <cell r="AC170">
            <v>3050059.9999999995</v>
          </cell>
          <cell r="AD170">
            <v>1266560</v>
          </cell>
        </row>
        <row r="258">
          <cell r="AB258">
            <v>46709</v>
          </cell>
          <cell r="AC258">
            <v>864240</v>
          </cell>
          <cell r="AD258">
            <v>542913</v>
          </cell>
        </row>
        <row r="284">
          <cell r="AD284">
            <v>45892</v>
          </cell>
        </row>
        <row r="316">
          <cell r="AC316">
            <v>160647</v>
          </cell>
        </row>
        <row r="318">
          <cell r="AB318">
            <v>20796</v>
          </cell>
          <cell r="AD318">
            <v>21913.000000000004</v>
          </cell>
        </row>
        <row r="348">
          <cell r="AB348">
            <v>10014</v>
          </cell>
          <cell r="AC348">
            <v>88350</v>
          </cell>
          <cell r="AD348">
            <v>4607</v>
          </cell>
        </row>
        <row r="408">
          <cell r="AC408">
            <v>130203</v>
          </cell>
        </row>
        <row r="410">
          <cell r="AB410">
            <v>28872</v>
          </cell>
          <cell r="AD410">
            <v>52710</v>
          </cell>
        </row>
        <row r="438">
          <cell r="R438">
            <v>8080.3199999999988</v>
          </cell>
          <cell r="AC438">
            <v>3085.6799999999989</v>
          </cell>
          <cell r="AD438">
            <v>33.999999999999993</v>
          </cell>
        </row>
        <row r="466">
          <cell r="R466">
            <v>13256</v>
          </cell>
          <cell r="AB466">
            <v>4925</v>
          </cell>
          <cell r="AC466">
            <v>19554.999999999996</v>
          </cell>
          <cell r="AD466">
            <v>465.99999999999989</v>
          </cell>
        </row>
        <row r="498">
          <cell r="AB498">
            <v>34710</v>
          </cell>
          <cell r="AC498">
            <v>258900.00000000003</v>
          </cell>
          <cell r="AD498">
            <v>81660.000000000015</v>
          </cell>
        </row>
        <row r="530">
          <cell r="AB530">
            <v>12060</v>
          </cell>
          <cell r="AC530">
            <v>71484</v>
          </cell>
          <cell r="AD530">
            <v>12561.000000000002</v>
          </cell>
        </row>
        <row r="558">
          <cell r="AB558">
            <v>5170</v>
          </cell>
          <cell r="AC558">
            <v>22680</v>
          </cell>
          <cell r="AD558">
            <v>7500</v>
          </cell>
        </row>
        <row r="586">
          <cell r="R586">
            <v>7126</v>
          </cell>
          <cell r="V586">
            <v>20000.000000000004</v>
          </cell>
          <cell r="AC586">
            <v>0</v>
          </cell>
          <cell r="AD586">
            <v>2265</v>
          </cell>
        </row>
        <row r="618">
          <cell r="AB618">
            <v>18885</v>
          </cell>
          <cell r="AC618">
            <v>278530</v>
          </cell>
          <cell r="AD618">
            <v>130203</v>
          </cell>
        </row>
        <row r="650">
          <cell r="AB650">
            <v>6798</v>
          </cell>
          <cell r="AC650">
            <v>52699.999999999985</v>
          </cell>
          <cell r="AD650">
            <v>18561</v>
          </cell>
        </row>
        <row r="680">
          <cell r="AB680">
            <v>10400</v>
          </cell>
          <cell r="AC680">
            <v>112300</v>
          </cell>
          <cell r="AD680">
            <v>43500</v>
          </cell>
        </row>
        <row r="768">
          <cell r="Q768">
            <v>1399120</v>
          </cell>
        </row>
        <row r="852">
          <cell r="AC852">
            <v>10000</v>
          </cell>
        </row>
        <row r="972">
          <cell r="AC972">
            <v>311316</v>
          </cell>
          <cell r="AD972">
            <v>67953</v>
          </cell>
        </row>
        <row r="974">
          <cell r="AB974">
            <v>57858</v>
          </cell>
        </row>
        <row r="1004">
          <cell r="AB1004">
            <v>36845.5</v>
          </cell>
          <cell r="AC1004">
            <v>313575.90000000008</v>
          </cell>
        </row>
        <row r="1006">
          <cell r="AD1006">
            <v>198519.1</v>
          </cell>
        </row>
        <row r="1064">
          <cell r="AB1064">
            <v>4582.2359999999999</v>
          </cell>
          <cell r="AC1064">
            <v>48112.079999999987</v>
          </cell>
        </row>
        <row r="1066">
          <cell r="AD1066">
            <v>4923.7560000000003</v>
          </cell>
        </row>
        <row r="1098">
          <cell r="AB1098">
            <v>23306.000000000004</v>
          </cell>
          <cell r="AC1098">
            <v>98620</v>
          </cell>
          <cell r="AD1098">
            <v>18442</v>
          </cell>
        </row>
        <row r="1276">
          <cell r="AC1276">
            <v>14499899.999999998</v>
          </cell>
        </row>
        <row r="1278">
          <cell r="V1278">
            <v>1286000</v>
          </cell>
          <cell r="AB1278">
            <v>1166100</v>
          </cell>
          <cell r="AD1278">
            <v>8813610</v>
          </cell>
        </row>
        <row r="1334">
          <cell r="R1334">
            <v>18099.999999999996</v>
          </cell>
          <cell r="AC1334">
            <v>0</v>
          </cell>
          <cell r="AD1334">
            <v>165399.99999999997</v>
          </cell>
        </row>
        <row r="1450">
          <cell r="R1450">
            <v>154399.99999999997</v>
          </cell>
          <cell r="AB1450">
            <v>700.00393476567081</v>
          </cell>
          <cell r="AC1450">
            <v>39599.999999999993</v>
          </cell>
          <cell r="AD1450">
            <v>900</v>
          </cell>
        </row>
        <row r="1536">
          <cell r="AB1536">
            <v>3887.0000000000005</v>
          </cell>
          <cell r="AC1536">
            <v>44209.000000000015</v>
          </cell>
        </row>
        <row r="1538">
          <cell r="AD1538">
            <v>8177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Instruction"/>
      <sheetName val="Лог обновления"/>
      <sheetName val="Титульный"/>
      <sheetName val="Результаты загрузки"/>
      <sheetName val="modUIButtons"/>
      <sheetName val="Список организаций"/>
      <sheetName val="modGetGeoBase"/>
      <sheetName val="TECHSHEET"/>
      <sheetName val="TECH_GENERAL"/>
      <sheetName val="TECH_HORISONTAL"/>
      <sheetName val="ТС.HEAT matrix PP"/>
      <sheetName val="ТС.HEAT matrix TR"/>
      <sheetName val="ВС.VSNA matrix PP"/>
      <sheetName val="ВО.VOTV matrix PP"/>
      <sheetName val="ТС.БПр"/>
      <sheetName val="ТС.БТр"/>
      <sheetName val="ТС.Заявление"/>
      <sheetName val="ТС.Расчёт с ДФ"/>
      <sheetName val="ТС.ДФ"/>
      <sheetName val="ТС.К"/>
      <sheetName val="ТС.К Энергия"/>
      <sheetName val="ТС.К (к)"/>
      <sheetName val="ТС.К (к) Энергия"/>
      <sheetName val="ТС.Т"/>
      <sheetName val="ТС.Т Тр"/>
      <sheetName val="ТС.ТМ1"/>
      <sheetName val="ТС.ТМ2"/>
      <sheetName val="ВС.БПр"/>
      <sheetName val="ВС.БТр"/>
      <sheetName val="ВС.Заявление"/>
      <sheetName val="ВС.Расчёт с ДФ"/>
      <sheetName val="ВС.ДФ"/>
      <sheetName val="ВС.К"/>
      <sheetName val="ВС.ТМ1"/>
      <sheetName val="ВС.ТМ2"/>
      <sheetName val="БПр"/>
      <sheetName val="БТр"/>
      <sheetName val="ВО.Заявление"/>
      <sheetName val="ВО.Расчёт с ДФ"/>
      <sheetName val="ВО.ДФ"/>
      <sheetName val="К"/>
      <sheetName val="ТМ1"/>
      <sheetName val="ТМ2"/>
      <sheetName val="ТБО.ДФ"/>
      <sheetName val="ТБО.К"/>
      <sheetName val="КоммМО"/>
      <sheetName val="Комментарии"/>
      <sheetName val="ТС.ПП ОРГ"/>
      <sheetName val="ТС.ПП МО"/>
      <sheetName val="ТС.ТР ОРГ"/>
      <sheetName val="ТС.ТР МО"/>
      <sheetName val="ВС.ПП ОРГ"/>
      <sheetName val="ВС.ПП МО"/>
      <sheetName val="ВО.ПП ОРГ"/>
      <sheetName val="ВО.ПП МО"/>
      <sheetName val="Проверка"/>
      <sheetName val="modLoadFiles"/>
      <sheetName val="modSVODProv"/>
      <sheetName val="modUpdateToActualVersion"/>
      <sheetName val="modLoad"/>
      <sheetName val="modUpdDelRenumber"/>
      <sheetName val="modGeneralProcedures"/>
      <sheetName val="modOpen"/>
      <sheetName val="modCommonProcedures"/>
      <sheetName val="modfrmRegion"/>
      <sheetName val="modSvodButtons"/>
      <sheetName val="modInfo"/>
      <sheetName val="modUpdTemplMain"/>
      <sheetName val="modfrmCheckUpdates"/>
      <sheetName val="modfrmReportMode"/>
      <sheetName val="PLAN1X_COUNT"/>
      <sheetName val="AUTHORISATION"/>
      <sheetName val="modfrmPLAN1XUpdateIsInProgress"/>
      <sheetName val="modCommandButton"/>
      <sheetName val="modHEATPP"/>
      <sheetName val="modHEATTR"/>
      <sheetName val="modVSNAPP"/>
      <sheetName val="modVOTVPP"/>
      <sheetName val="modVLDCommonProv"/>
      <sheetName val="modVLDIntegrityProv"/>
      <sheetName val="modVLDProv"/>
      <sheetName val="modVLDProvGeneralProc"/>
      <sheetName val="modVLDOrgUniqueness"/>
      <sheetName val="modVLDProvT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38">
          <cell r="L138">
            <v>173600</v>
          </cell>
          <cell r="N138">
            <v>999.99999999999977</v>
          </cell>
          <cell r="O138">
            <v>68400</v>
          </cell>
          <cell r="P138">
            <v>899.99999999999989</v>
          </cell>
        </row>
        <row r="370">
          <cell r="N370">
            <v>367990.00000000012</v>
          </cell>
          <cell r="O370">
            <v>2942160</v>
          </cell>
          <cell r="P370">
            <v>661780</v>
          </cell>
        </row>
        <row r="398">
          <cell r="N398">
            <v>6260</v>
          </cell>
          <cell r="O398">
            <v>82510.000000000015</v>
          </cell>
          <cell r="P398">
            <v>6870</v>
          </cell>
        </row>
        <row r="430">
          <cell r="N430">
            <v>40480.000000000007</v>
          </cell>
          <cell r="O430">
            <v>905414.00000000012</v>
          </cell>
          <cell r="P430">
            <v>302755.00000000012</v>
          </cell>
        </row>
        <row r="458">
          <cell r="N458">
            <v>1659</v>
          </cell>
          <cell r="O458">
            <v>55690.000000000015</v>
          </cell>
        </row>
        <row r="486">
          <cell r="P486">
            <v>1893.9999999999998</v>
          </cell>
        </row>
        <row r="518">
          <cell r="N518">
            <v>13527.999999999998</v>
          </cell>
          <cell r="O518">
            <v>59477.000000000007</v>
          </cell>
          <cell r="P518">
            <v>4751</v>
          </cell>
        </row>
        <row r="550">
          <cell r="N550">
            <v>8317.2300000000014</v>
          </cell>
          <cell r="O550">
            <v>7428.3599999999979</v>
          </cell>
          <cell r="P550">
            <v>406.32000000000011</v>
          </cell>
        </row>
        <row r="582">
          <cell r="N582">
            <v>20993.5</v>
          </cell>
          <cell r="O582">
            <v>74752.899999999994</v>
          </cell>
          <cell r="P582">
            <v>4781.2</v>
          </cell>
        </row>
        <row r="610">
          <cell r="L610">
            <v>11431.300000000003</v>
          </cell>
          <cell r="P610">
            <v>240</v>
          </cell>
        </row>
        <row r="642">
          <cell r="L642">
            <v>1884</v>
          </cell>
          <cell r="N642">
            <v>9691.260000000002</v>
          </cell>
          <cell r="O642">
            <v>176263.25000000003</v>
          </cell>
          <cell r="P642">
            <v>15435.470000000005</v>
          </cell>
        </row>
        <row r="698">
          <cell r="L698">
            <v>243.9799999999999</v>
          </cell>
          <cell r="P698">
            <v>9873.2700000000023</v>
          </cell>
        </row>
        <row r="728">
          <cell r="O728">
            <v>21297</v>
          </cell>
        </row>
        <row r="730">
          <cell r="L730">
            <v>440.00000000000011</v>
          </cell>
          <cell r="N730">
            <v>9071</v>
          </cell>
          <cell r="P730">
            <v>1980.9999999999998</v>
          </cell>
        </row>
        <row r="762">
          <cell r="O762">
            <v>5845</v>
          </cell>
        </row>
        <row r="790">
          <cell r="L790">
            <v>465.99999999999989</v>
          </cell>
          <cell r="N790">
            <v>874.99999999999989</v>
          </cell>
          <cell r="O790">
            <v>18160</v>
          </cell>
        </row>
        <row r="822">
          <cell r="L822">
            <v>6104</v>
          </cell>
          <cell r="N822">
            <v>22190</v>
          </cell>
          <cell r="O822">
            <v>204090</v>
          </cell>
          <cell r="P822">
            <v>55480.000000000007</v>
          </cell>
        </row>
        <row r="850">
          <cell r="O850">
            <v>20900</v>
          </cell>
          <cell r="P850">
            <v>15480</v>
          </cell>
        </row>
        <row r="878">
          <cell r="P878">
            <v>2400</v>
          </cell>
        </row>
        <row r="970">
          <cell r="N970">
            <v>15999</v>
          </cell>
          <cell r="O970">
            <v>231607.00000000006</v>
          </cell>
          <cell r="P970">
            <v>269626.00000000012</v>
          </cell>
        </row>
        <row r="1002">
          <cell r="N1002">
            <v>64638.120000000017</v>
          </cell>
          <cell r="O1002">
            <v>245362.39999999997</v>
          </cell>
          <cell r="P1002">
            <v>81098.389999999985</v>
          </cell>
        </row>
        <row r="1062">
          <cell r="N1062">
            <v>1235</v>
          </cell>
          <cell r="O1062">
            <v>2532</v>
          </cell>
        </row>
        <row r="1182">
          <cell r="L1182">
            <v>1640.9999999999998</v>
          </cell>
          <cell r="N1182">
            <v>18014.999999999996</v>
          </cell>
          <cell r="O1182">
            <v>63141.000000000015</v>
          </cell>
          <cell r="P1182">
            <v>4354.0000000000009</v>
          </cell>
        </row>
        <row r="1362">
          <cell r="N1362">
            <v>1756100</v>
          </cell>
          <cell r="O1362">
            <v>18717500</v>
          </cell>
          <cell r="P1362">
            <v>3701800.0000000005</v>
          </cell>
        </row>
        <row r="1390">
          <cell r="L1390">
            <v>4914030</v>
          </cell>
          <cell r="P1390">
            <v>307526.00000000186</v>
          </cell>
        </row>
        <row r="1418">
          <cell r="K1418">
            <v>1262600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 (НВВ) население на 12%"/>
      <sheetName val="Лист1"/>
      <sheetName val="Валдай"/>
    </sheetNames>
    <sheetDataSet>
      <sheetData sheetId="0">
        <row r="44">
          <cell r="M44">
            <v>38000</v>
          </cell>
        </row>
        <row r="46">
          <cell r="M46">
            <v>6267</v>
          </cell>
        </row>
        <row r="50">
          <cell r="M50">
            <v>6334</v>
          </cell>
        </row>
        <row r="55">
          <cell r="M55">
            <v>85980</v>
          </cell>
        </row>
        <row r="82">
          <cell r="M82">
            <v>686.3900000000001</v>
          </cell>
        </row>
        <row r="84">
          <cell r="M84">
            <v>28873.789999999997</v>
          </cell>
        </row>
        <row r="252">
          <cell r="M252">
            <v>574.39</v>
          </cell>
        </row>
        <row r="295">
          <cell r="M295">
            <v>1420.7</v>
          </cell>
        </row>
        <row r="471">
          <cell r="M471">
            <v>13507</v>
          </cell>
        </row>
        <row r="526">
          <cell r="M526">
            <v>6020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DataRegion"/>
      <sheetName val="modBalPr"/>
      <sheetName val="modVLDProvTM"/>
      <sheetName val="Инструкция"/>
      <sheetName val="modInstruction"/>
      <sheetName val="Лог обновления"/>
      <sheetName val="Список организаций"/>
      <sheetName val="TECHSHEET"/>
      <sheetName val="TECH_HORISONTAL"/>
      <sheetName val="TECH_VERTICAL"/>
      <sheetName val="REESTR_ORG"/>
      <sheetName val="REESTR_SOURCE"/>
      <sheetName val="modGetGeoBase"/>
      <sheetName val="БПр"/>
      <sheetName val="БТр"/>
      <sheetName val="К"/>
      <sheetName val="К (к)"/>
      <sheetName val="Т"/>
      <sheetName val="ТМ1"/>
      <sheetName val="ТМ2"/>
      <sheetName val="ВС.БПр"/>
      <sheetName val="ВС.БТр"/>
      <sheetName val="ВС.К"/>
      <sheetName val="ВС.ТМ1"/>
      <sheetName val="ВС.ТМ2"/>
      <sheetName val="ВО.БПр"/>
      <sheetName val="ВО.БТр"/>
      <sheetName val="ВО.К"/>
      <sheetName val="ВО.ТМ1"/>
      <sheetName val="ВО.ТМ2"/>
      <sheetName val="ТБО.К"/>
      <sheetName val="Свод"/>
      <sheetName val="Результаты загрузки"/>
      <sheetName val="Комментарии"/>
      <sheetName val="Проверка"/>
      <sheetName val="REESTR_MO"/>
      <sheetName val="AUTHORISATION"/>
      <sheetName val="PLAN1X_LIST_ORG"/>
      <sheetName val="PLAN1X_BPR_DETAILED"/>
      <sheetName val="PLAN1X_MXPP_DETAILED"/>
      <sheetName val="PLAN1X_BTR_DETAILED"/>
      <sheetName val="PLAN1X_MXTR_DETAILED"/>
      <sheetName val="PLAN1X_FUEL"/>
      <sheetName val="PLAN1X_FUEL_GAS"/>
      <sheetName val="PLAN1X_FUEL_TR_1"/>
      <sheetName val="PLAN1X_FUEL_TR_2"/>
      <sheetName val="PLAN1X_FUEL_TR_3"/>
      <sheetName val="PLAN1X_FUEL_EE"/>
      <sheetName val="PLAN1X_CALC"/>
      <sheetName val="PLAN1X_TM1"/>
      <sheetName val="PLAN1X_TM2"/>
      <sheetName val="modLoad"/>
      <sheetName val="modLoadResults"/>
      <sheetName val="modLoadFiles"/>
      <sheetName val="modUIButtons"/>
      <sheetName val="modVLDCommonProv"/>
      <sheetName val="modVLDIntegrityProv"/>
      <sheetName val="modVLDProv"/>
      <sheetName val="modDataFTS"/>
      <sheetName val="modCommonProcedures"/>
      <sheetName val="modBalTr"/>
      <sheetName val="modCalc"/>
      <sheetName val="modCalcCombi"/>
      <sheetName val="modFuel"/>
      <sheetName val="modListOrg"/>
      <sheetName val="modCommandButton"/>
      <sheetName val="modfrmRegion"/>
      <sheetName val="modVLDProvGeneralProc"/>
      <sheetName val="modfrmPLAN1XCheckInIsInProgress"/>
      <sheetName val="modfrmPLAN1XUpdateIsInProgress"/>
      <sheetName val="modfrmREGCheckInIsInProgress"/>
      <sheetName val="modfrmREGUpdateIsInProgress"/>
      <sheetName val="modVLDOrgUniqueness"/>
      <sheetName val="modTM1"/>
      <sheetName val="modTM2"/>
      <sheetName val="modfrmReestr"/>
      <sheetName val="modfrmOrg"/>
      <sheetName val="modUpdTemplMain"/>
      <sheetName val="modfrmCheckUpdates"/>
      <sheetName val="modfrmDateChoose"/>
      <sheetName val="modIHLCommandBar"/>
      <sheetName val="modfrmHEATAdditionalOrgData"/>
      <sheetName val="modfrmVSNAVOTVAdditionalOrgData"/>
      <sheetName val="modGeneralProcedures"/>
      <sheetName val="modOpen"/>
      <sheetName val="modfrmReportMo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32">
          <cell r="DG132">
            <v>600</v>
          </cell>
        </row>
        <row r="162">
          <cell r="DG162">
            <v>0</v>
          </cell>
          <cell r="DH162">
            <v>1787</v>
          </cell>
          <cell r="DI162">
            <v>4480</v>
          </cell>
        </row>
        <row r="246">
          <cell r="CP246">
            <v>31580</v>
          </cell>
          <cell r="DG246">
            <v>8372</v>
          </cell>
          <cell r="DH246">
            <v>41775</v>
          </cell>
          <cell r="DI246">
            <v>4253</v>
          </cell>
        </row>
        <row r="330">
          <cell r="CP330">
            <v>6061.9999999999991</v>
          </cell>
          <cell r="DH330">
            <v>271.99999999999994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Instruction"/>
      <sheetName val="Лог обновления"/>
      <sheetName val="Титульный"/>
      <sheetName val="Результаты загрузки"/>
      <sheetName val="modUIButtons"/>
      <sheetName val="Список организаций"/>
      <sheetName val="modGetGeoBase"/>
      <sheetName val="TECHSHEET"/>
      <sheetName val="TECH_GENERAL"/>
      <sheetName val="TECH_HORISONTAL"/>
      <sheetName val="ТС.HEAT matrix PP"/>
      <sheetName val="ТС.HEAT matrix TR"/>
      <sheetName val="ВС.VSNA matrix PP"/>
      <sheetName val="ВО.VOTV matrix PP"/>
      <sheetName val="БПр"/>
      <sheetName val="БТр"/>
      <sheetName val="ТС.Заявление"/>
      <sheetName val="ТС.Расчёт с ДФ"/>
      <sheetName val="ТС.ДФ"/>
      <sheetName val="К"/>
      <sheetName val="К Энергия"/>
      <sheetName val="К (к)"/>
      <sheetName val="К (к) Энергия"/>
      <sheetName val="Т"/>
      <sheetName val="Т Тр"/>
      <sheetName val="ТМ1"/>
      <sheetName val="ТМ2"/>
      <sheetName val="ВС.БПр"/>
      <sheetName val="ВС.БТр"/>
      <sheetName val="ВС.Заявление"/>
      <sheetName val="ВС.Расчёт с ДФ"/>
      <sheetName val="ВС.ДФ"/>
      <sheetName val="ВС.К"/>
      <sheetName val="ВС.ТМ1"/>
      <sheetName val="ВС.ТМ2"/>
      <sheetName val="ВО.БПр"/>
      <sheetName val="ВО.БТр"/>
      <sheetName val="ВО.Заявление"/>
      <sheetName val="ВО.Расчёт с ДФ"/>
      <sheetName val="ВО.ДФ"/>
      <sheetName val="ВО.К"/>
      <sheetName val="ВО.ТМ1"/>
      <sheetName val="ВО.ТМ2"/>
      <sheetName val="ТБО.ДФ"/>
      <sheetName val="ТБО.К"/>
      <sheetName val="КоммМО"/>
      <sheetName val="Комментарии"/>
      <sheetName val="ТС.ПП ОРГ"/>
      <sheetName val="ТС.ПП МО"/>
      <sheetName val="ТС.ТР ОРГ"/>
      <sheetName val="ТС.ТР МО"/>
      <sheetName val="ВС.ПП ОРГ"/>
      <sheetName val="ВС.ПП МО"/>
      <sheetName val="ВО.ПП ОРГ"/>
      <sheetName val="ВО.ПП МО"/>
      <sheetName val="Проверка"/>
      <sheetName val="modLoadFiles"/>
      <sheetName val="modSVODProv"/>
      <sheetName val="modUpdateToActualVersion"/>
      <sheetName val="modLoad"/>
      <sheetName val="modUpdDelRenumber"/>
      <sheetName val="modGeneralProcedures"/>
      <sheetName val="modOpen"/>
      <sheetName val="modCommonProcedures"/>
      <sheetName val="modfrmRegion"/>
      <sheetName val="modSvodButtons"/>
      <sheetName val="modInfo"/>
      <sheetName val="modUpdTemplMain"/>
      <sheetName val="modfrmCheckUpdates"/>
      <sheetName val="modfrmReportMode"/>
      <sheetName val="PLAN1X_COUNT"/>
      <sheetName val="AUTHORISATION"/>
      <sheetName val="modfrmPLAN1XUpdateIsInProgress"/>
      <sheetName val="modCommandButton"/>
      <sheetName val="modHEATPP"/>
      <sheetName val="modHEATTR"/>
      <sheetName val="modVSNAPP"/>
      <sheetName val="modVOTVPP"/>
      <sheetName val="modVLDCommonProv"/>
      <sheetName val="modVLDIntegrityProv"/>
      <sheetName val="modVLDProv"/>
      <sheetName val="modVLDProvGeneralProc"/>
      <sheetName val="modVLDOrgUniqueness"/>
      <sheetName val="modVLDProvT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420">
          <cell r="BO1420">
            <v>573.05989999999997</v>
          </cell>
        </row>
        <row r="1448">
          <cell r="BX1448">
            <v>388.43000000000006</v>
          </cell>
        </row>
        <row r="1450">
          <cell r="BO1450">
            <v>127.89999999999999</v>
          </cell>
          <cell r="BY1450">
            <v>170.06010000000001</v>
          </cell>
        </row>
        <row r="1476">
          <cell r="BW1476">
            <v>628.03</v>
          </cell>
          <cell r="BX1476">
            <v>5733.3202999999994</v>
          </cell>
        </row>
        <row r="1478">
          <cell r="BO1478">
            <v>22350.849899999997</v>
          </cell>
          <cell r="BY1478">
            <v>161.58999999999997</v>
          </cell>
        </row>
        <row r="1560">
          <cell r="BP1560">
            <v>246</v>
          </cell>
          <cell r="BW1560">
            <v>25656.3</v>
          </cell>
          <cell r="BX1560">
            <v>76565.13</v>
          </cell>
          <cell r="BY1560">
            <v>18717.060000000001</v>
          </cell>
        </row>
        <row r="1620">
          <cell r="BW1620">
            <v>1871.0100000000004</v>
          </cell>
          <cell r="BX1620">
            <v>978.59299999999951</v>
          </cell>
          <cell r="BY1620">
            <v>404.29700000000003</v>
          </cell>
        </row>
        <row r="1648">
          <cell r="BW1648">
            <v>217.65</v>
          </cell>
          <cell r="BX1648">
            <v>719.69999999999993</v>
          </cell>
        </row>
        <row r="1650">
          <cell r="BY1650">
            <v>0</v>
          </cell>
        </row>
        <row r="1708">
          <cell r="BP1708">
            <v>80.47</v>
          </cell>
          <cell r="BW1708">
            <v>7776.23</v>
          </cell>
          <cell r="BX1708">
            <v>9219.2899999999991</v>
          </cell>
          <cell r="BY1708">
            <v>571.47</v>
          </cell>
        </row>
        <row r="1768">
          <cell r="BP1768">
            <v>23.860000000000003</v>
          </cell>
          <cell r="BW1768">
            <v>7993.82</v>
          </cell>
          <cell r="BX1768">
            <v>20489.79</v>
          </cell>
          <cell r="BY1768">
            <v>3544.26</v>
          </cell>
        </row>
        <row r="1828">
          <cell r="BP1828">
            <v>140.94</v>
          </cell>
          <cell r="BW1828">
            <v>4260.1499999999996</v>
          </cell>
          <cell r="BX1828">
            <v>6610.2199999999993</v>
          </cell>
          <cell r="BY1828">
            <v>155.33000000000004</v>
          </cell>
        </row>
        <row r="1888">
          <cell r="BP1888">
            <v>34.78</v>
          </cell>
          <cell r="BW1888">
            <v>3195.6200000000008</v>
          </cell>
          <cell r="BX1888">
            <v>1659.29</v>
          </cell>
          <cell r="BY1888">
            <v>120.19</v>
          </cell>
        </row>
        <row r="1948">
          <cell r="BX1948">
            <v>3907.1400000000008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Instruction"/>
      <sheetName val="Лог обновления"/>
      <sheetName val="Титульный"/>
      <sheetName val="Результаты загрузки"/>
      <sheetName val="modUIButtons"/>
      <sheetName val="Список организаций"/>
      <sheetName val="modGetGeoBase"/>
      <sheetName val="TECHSHEET"/>
      <sheetName val="TECH_GENERAL"/>
      <sheetName val="TECH_HORISONTAL"/>
      <sheetName val="ТС.HEAT matrix PP"/>
      <sheetName val="ТС.HEAT matrix TR"/>
      <sheetName val="ВС.VSNA matrix PP"/>
      <sheetName val="ВО.VOTV matrix PP"/>
      <sheetName val="БПр"/>
      <sheetName val="БТр"/>
      <sheetName val="ТС.Заявление"/>
      <sheetName val="ТС.Расчёт с ДФ"/>
      <sheetName val="ТС.ДФ"/>
      <sheetName val="К"/>
      <sheetName val="К Энергия"/>
      <sheetName val="К (к)"/>
      <sheetName val="К (к) Энергия"/>
      <sheetName val="Т"/>
      <sheetName val="Т Тр"/>
      <sheetName val="ТМ1"/>
      <sheetName val="ТМ2"/>
      <sheetName val="ВС.БПр"/>
      <sheetName val="ВС.БТр"/>
      <sheetName val="ВС.Заявление"/>
      <sheetName val="ВС.Расчёт с ДФ"/>
      <sheetName val="ВС.ДФ"/>
      <sheetName val="ВС.К"/>
      <sheetName val="ВС.ТМ1"/>
      <sheetName val="ВС.ТМ2"/>
      <sheetName val="ВО.БПр"/>
      <sheetName val="ВО.БТр"/>
      <sheetName val="ВО.Заявление"/>
      <sheetName val="ВО.Расчёт с ДФ"/>
      <sheetName val="ВО.ДФ"/>
      <sheetName val="ВО.К"/>
      <sheetName val="ВО.ТМ1"/>
      <sheetName val="ВО.ТМ2"/>
      <sheetName val="ТБО.ДФ"/>
      <sheetName val="ТБО.К"/>
      <sheetName val="КоммМО"/>
      <sheetName val="Комментарии"/>
      <sheetName val="ТС.ПП ОРГ"/>
      <sheetName val="ТС.ПП МО"/>
      <sheetName val="ТС.ТР ОРГ"/>
      <sheetName val="ТС.ТР МО"/>
      <sheetName val="ВС.ПП ОРГ"/>
      <sheetName val="ВС.ПП МО"/>
      <sheetName val="ВО.ПП ОРГ"/>
      <sheetName val="ВО.ПП МО"/>
      <sheetName val="Проверка"/>
      <sheetName val="modLoadFiles"/>
      <sheetName val="modSVODProv"/>
      <sheetName val="modUpdateToActualVersion"/>
      <sheetName val="modLoad"/>
      <sheetName val="modUpdDelRenumber"/>
      <sheetName val="modGeneralProcedures"/>
      <sheetName val="modOpen"/>
      <sheetName val="modCommonProcedures"/>
      <sheetName val="modfrmRegion"/>
      <sheetName val="modSvodButtons"/>
      <sheetName val="modInfo"/>
      <sheetName val="modUpdTemplMain"/>
      <sheetName val="modfrmCheckUpdates"/>
      <sheetName val="modfrmReportMode"/>
      <sheetName val="PLAN1X_COUNT"/>
      <sheetName val="AUTHORISATION"/>
      <sheetName val="modfrmPLAN1XUpdateIsInProgress"/>
      <sheetName val="modCommandButton"/>
      <sheetName val="modHEATPP"/>
      <sheetName val="modHEATTR"/>
      <sheetName val="modVSNAPP"/>
      <sheetName val="modVOTVPP"/>
      <sheetName val="modVLDCommonProv"/>
      <sheetName val="modVLDIntegrityProv"/>
      <sheetName val="modVLDProv"/>
      <sheetName val="modVLDProvGeneralProc"/>
      <sheetName val="modVLDOrgUniqueness"/>
      <sheetName val="modVLDProvT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36">
          <cell r="BW136">
            <v>783.9899999999999</v>
          </cell>
        </row>
        <row r="192">
          <cell r="BO192">
            <v>6180</v>
          </cell>
          <cell r="BW192">
            <v>2470</v>
          </cell>
          <cell r="BX192">
            <v>0</v>
          </cell>
          <cell r="BY192">
            <v>70</v>
          </cell>
        </row>
        <row r="220">
          <cell r="BW220">
            <v>27522.47</v>
          </cell>
          <cell r="BX220">
            <v>172750.71000000002</v>
          </cell>
          <cell r="BY220">
            <v>8876.6099999999988</v>
          </cell>
        </row>
        <row r="222">
          <cell r="BP222">
            <v>119.52</v>
          </cell>
        </row>
        <row r="280">
          <cell r="BO280">
            <v>0</v>
          </cell>
          <cell r="BW280">
            <v>7504.99</v>
          </cell>
          <cell r="BX280">
            <v>24735.96</v>
          </cell>
          <cell r="BY280">
            <v>1743.25</v>
          </cell>
        </row>
        <row r="312">
          <cell r="BW312">
            <v>1220.6399999999999</v>
          </cell>
        </row>
        <row r="314">
          <cell r="BX314">
            <v>0</v>
          </cell>
        </row>
        <row r="368">
          <cell r="BP368">
            <v>705.82</v>
          </cell>
          <cell r="BW368">
            <v>14236.519999999999</v>
          </cell>
          <cell r="BX368">
            <v>40538.150000000009</v>
          </cell>
          <cell r="BY368">
            <v>3968.51</v>
          </cell>
        </row>
        <row r="400">
          <cell r="BW400">
            <v>342.12000000000006</v>
          </cell>
        </row>
        <row r="428">
          <cell r="BW428">
            <v>1958.2171999999998</v>
          </cell>
          <cell r="BX428">
            <v>262.83328799999998</v>
          </cell>
          <cell r="BY428">
            <v>25.73</v>
          </cell>
        </row>
        <row r="572">
          <cell r="BW572">
            <v>2216.3000000000002</v>
          </cell>
        </row>
        <row r="574">
          <cell r="BX574">
            <v>5299.68</v>
          </cell>
          <cell r="BY574">
            <v>123.98000000000002</v>
          </cell>
        </row>
        <row r="604">
          <cell r="BO604">
            <v>18750</v>
          </cell>
          <cell r="BW604">
            <v>0</v>
          </cell>
          <cell r="BX604">
            <v>4020.0000000000005</v>
          </cell>
          <cell r="BY604">
            <v>190</v>
          </cell>
        </row>
        <row r="690">
          <cell r="BO690">
            <v>9974.9999999999982</v>
          </cell>
          <cell r="BW690">
            <v>500</v>
          </cell>
          <cell r="BX690">
            <v>292</v>
          </cell>
          <cell r="BY690">
            <v>668</v>
          </cell>
        </row>
        <row r="746">
          <cell r="BW746">
            <v>1068.4041</v>
          </cell>
          <cell r="BX746">
            <v>16598.376100000001</v>
          </cell>
          <cell r="BY746">
            <v>466.94389999999999</v>
          </cell>
        </row>
        <row r="802">
          <cell r="BP802">
            <v>531.29999999999995</v>
          </cell>
          <cell r="BW802">
            <v>24740.91</v>
          </cell>
          <cell r="BX802">
            <v>86922.359999999986</v>
          </cell>
          <cell r="BY802">
            <v>13715.460000000001</v>
          </cell>
        </row>
        <row r="888">
          <cell r="BP888">
            <v>253.9</v>
          </cell>
          <cell r="BW888">
            <v>5192.75</v>
          </cell>
          <cell r="BX888">
            <v>1350.05</v>
          </cell>
          <cell r="BY888">
            <v>220.93</v>
          </cell>
        </row>
        <row r="920">
          <cell r="BW920">
            <v>16253.85</v>
          </cell>
          <cell r="BX920">
            <v>71231.789999999994</v>
          </cell>
          <cell r="BY920">
            <v>5444.1299999999992</v>
          </cell>
        </row>
        <row r="922">
          <cell r="BP922">
            <v>372</v>
          </cell>
        </row>
        <row r="980">
          <cell r="BP980">
            <v>258.60000000000002</v>
          </cell>
          <cell r="BW980">
            <v>6673.1100000000006</v>
          </cell>
          <cell r="BX980">
            <v>10227.34</v>
          </cell>
          <cell r="BY980">
            <v>1639.65</v>
          </cell>
        </row>
        <row r="1012">
          <cell r="BO1012">
            <v>2759.9999999999995</v>
          </cell>
        </row>
        <row r="1014">
          <cell r="BX1014">
            <v>0</v>
          </cell>
        </row>
        <row r="1042">
          <cell r="BO1042">
            <v>367.00000000000006</v>
          </cell>
        </row>
        <row r="1098">
          <cell r="BO1098">
            <v>7408.4000000000005</v>
          </cell>
          <cell r="BW1098">
            <v>670</v>
          </cell>
          <cell r="BX1098">
            <v>0</v>
          </cell>
        </row>
        <row r="1124">
          <cell r="BP1124">
            <v>416.62</v>
          </cell>
          <cell r="BW1124">
            <v>16994.87</v>
          </cell>
          <cell r="BX1124">
            <v>58573.549999999996</v>
          </cell>
          <cell r="BY1124">
            <v>6881.76</v>
          </cell>
        </row>
        <row r="1244">
          <cell r="BO1244">
            <v>3772.0000000000009</v>
          </cell>
          <cell r="BW1244">
            <v>0</v>
          </cell>
          <cell r="BX1244">
            <v>659.00000000000011</v>
          </cell>
          <cell r="BY1244">
            <v>261.00000000000006</v>
          </cell>
        </row>
        <row r="1272">
          <cell r="BO1272">
            <v>15089</v>
          </cell>
          <cell r="BW1272">
            <v>270</v>
          </cell>
          <cell r="BX1272">
            <v>558.00000000000011</v>
          </cell>
          <cell r="BY1272">
            <v>528</v>
          </cell>
        </row>
        <row r="1302">
          <cell r="BP1302">
            <v>456.92999999999995</v>
          </cell>
          <cell r="BW1302">
            <v>9943.33</v>
          </cell>
          <cell r="BX1302">
            <v>14503.149999999998</v>
          </cell>
          <cell r="BY1302">
            <v>1643.15</v>
          </cell>
        </row>
        <row r="1332">
          <cell r="BO1332">
            <v>10631</v>
          </cell>
          <cell r="BW1332">
            <v>258</v>
          </cell>
          <cell r="BX1332">
            <v>2413.0000000000005</v>
          </cell>
          <cell r="BY1332">
            <v>205</v>
          </cell>
        </row>
        <row r="1388">
          <cell r="BX1388">
            <v>26445.91</v>
          </cell>
        </row>
        <row r="1390">
          <cell r="BW1390">
            <v>9062.39</v>
          </cell>
          <cell r="BY1390">
            <v>5546.67</v>
          </cell>
        </row>
        <row r="1948">
          <cell r="BN1948">
            <v>177.53</v>
          </cell>
          <cell r="BW1948">
            <v>3860.14</v>
          </cell>
          <cell r="BY1948">
            <v>417.96999999999997</v>
          </cell>
        </row>
        <row r="2094">
          <cell r="BO2094">
            <v>3070.0000000000005</v>
          </cell>
          <cell r="BW2094">
            <v>490</v>
          </cell>
          <cell r="BX2094">
            <v>0</v>
          </cell>
          <cell r="BY2094">
            <v>2460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0611">
          <cell r="CT10611">
            <v>33457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оизводства тепл.эн."/>
    </sheetNames>
    <sheetDataSet>
      <sheetData sheetId="0">
        <row r="221">
          <cell r="EI221">
            <v>4238.08</v>
          </cell>
        </row>
        <row r="222">
          <cell r="EI222">
            <v>2048.2800000000002</v>
          </cell>
        </row>
        <row r="226">
          <cell r="EI226">
            <v>238.10999999999999</v>
          </cell>
        </row>
        <row r="227">
          <cell r="EI227">
            <v>622.52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arif53.ru/PK14/Poc53_5_03_12_2014.pdf" TargetMode="External"/><Relationship Id="rId1" Type="http://schemas.openxmlformats.org/officeDocument/2006/relationships/hyperlink" Target="http://www.tarif53.ru/PK14/Poc53_4_03_12_2014.pdf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  <pageSetUpPr fitToPage="1"/>
  </sheetPr>
  <dimension ref="A1:HG481"/>
  <sheetViews>
    <sheetView showZeros="0" tabSelected="1" zoomScale="84" zoomScaleNormal="84" workbookViewId="0">
      <selection activeCell="GP133" sqref="GP133"/>
    </sheetView>
  </sheetViews>
  <sheetFormatPr defaultRowHeight="12.75" outlineLevelCol="1"/>
  <cols>
    <col min="1" max="1" width="2.5703125" style="1" customWidth="1"/>
    <col min="2" max="2" width="7.140625" style="2" hidden="1" customWidth="1"/>
    <col min="3" max="3" width="50.7109375" style="28" customWidth="1"/>
    <col min="4" max="4" width="0.140625" style="29" customWidth="1"/>
    <col min="5" max="8" width="14.42578125" style="29" hidden="1" customWidth="1"/>
    <col min="9" max="12" width="13.85546875" style="29" hidden="1" customWidth="1"/>
    <col min="13" max="13" width="14.140625" style="29" hidden="1" customWidth="1"/>
    <col min="14" max="14" width="12.85546875" style="29" hidden="1" customWidth="1"/>
    <col min="15" max="15" width="16.28515625" style="29" hidden="1" customWidth="1"/>
    <col min="16" max="16" width="12.85546875" style="29" hidden="1" customWidth="1"/>
    <col min="17" max="17" width="14.42578125" style="29" hidden="1" customWidth="1"/>
    <col min="18" max="21" width="12.85546875" style="29" hidden="1" customWidth="1"/>
    <col min="22" max="22" width="14.7109375" style="28" hidden="1" customWidth="1"/>
    <col min="23" max="23" width="14.5703125" style="28" hidden="1" customWidth="1"/>
    <col min="24" max="24" width="11.7109375" style="28" hidden="1" customWidth="1"/>
    <col min="25" max="25" width="13.85546875" style="28" hidden="1" customWidth="1"/>
    <col min="26" max="26" width="11.42578125" style="28" hidden="1" customWidth="1"/>
    <col min="27" max="27" width="12.140625" style="28" hidden="1" customWidth="1"/>
    <col min="28" max="28" width="11" style="28" hidden="1" customWidth="1"/>
    <col min="29" max="29" width="14.5703125" style="28" hidden="1" customWidth="1"/>
    <col min="30" max="30" width="15" style="28" hidden="1" customWidth="1"/>
    <col min="31" max="31" width="11.85546875" style="28" hidden="1" customWidth="1"/>
    <col min="32" max="32" width="15" style="28" hidden="1" customWidth="1"/>
    <col min="33" max="33" width="12.42578125" style="28" hidden="1" customWidth="1"/>
    <col min="34" max="34" width="11.85546875" style="28" hidden="1" customWidth="1"/>
    <col min="35" max="36" width="12.28515625" style="28" hidden="1" customWidth="1"/>
    <col min="37" max="40" width="12" style="28" hidden="1" customWidth="1"/>
    <col min="41" max="41" width="13.42578125" style="26" hidden="1" customWidth="1"/>
    <col min="42" max="42" width="14.28515625" style="26" hidden="1" customWidth="1"/>
    <col min="43" max="43" width="14.140625" style="26" hidden="1" customWidth="1"/>
    <col min="44" max="44" width="14.28515625" style="26" hidden="1" customWidth="1"/>
    <col min="45" max="45" width="11" style="26" hidden="1" customWidth="1"/>
    <col min="46" max="46" width="14.28515625" style="26" hidden="1" customWidth="1"/>
    <col min="47" max="47" width="11.7109375" style="26" hidden="1" customWidth="1"/>
    <col min="48" max="48" width="13.42578125" style="26" hidden="1" customWidth="1"/>
    <col min="49" max="49" width="11.7109375" style="26" hidden="1" customWidth="1"/>
    <col min="50" max="54" width="23.42578125" style="26" hidden="1" customWidth="1"/>
    <col min="55" max="55" width="18" style="26" hidden="1" customWidth="1"/>
    <col min="56" max="56" width="18.5703125" style="26" hidden="1" customWidth="1"/>
    <col min="57" max="57" width="11.7109375" style="26" hidden="1" customWidth="1"/>
    <col min="58" max="58" width="13.85546875" style="26" hidden="1" customWidth="1"/>
    <col min="59" max="59" width="14.140625" style="26" hidden="1" customWidth="1"/>
    <col min="60" max="61" width="11.7109375" style="26" hidden="1" customWidth="1"/>
    <col min="62" max="62" width="32" style="26" hidden="1" customWidth="1"/>
    <col min="63" max="64" width="11.85546875" style="27" hidden="1" customWidth="1"/>
    <col min="65" max="65" width="10.7109375" style="27" hidden="1" customWidth="1"/>
    <col min="66" max="66" width="11.85546875" style="27" hidden="1" customWidth="1"/>
    <col min="67" max="67" width="12.42578125" style="27" hidden="1" customWidth="1"/>
    <col min="68" max="68" width="13" style="27" hidden="1" customWidth="1"/>
    <col min="69" max="69" width="10.5703125" style="27" hidden="1" customWidth="1"/>
    <col min="70" max="70" width="12.42578125" style="27" hidden="1" customWidth="1"/>
    <col min="71" max="71" width="14.28515625" style="27" hidden="1" customWidth="1"/>
    <col min="72" max="72" width="12.7109375" style="27" hidden="1" customWidth="1"/>
    <col min="73" max="73" width="11.28515625" style="27" hidden="1" customWidth="1"/>
    <col min="74" max="74" width="11.7109375" style="27" hidden="1" customWidth="1"/>
    <col min="75" max="75" width="12.7109375" style="27" hidden="1" customWidth="1"/>
    <col min="76" max="76" width="12.28515625" style="27" hidden="1" customWidth="1"/>
    <col min="77" max="77" width="12" style="27" hidden="1" customWidth="1"/>
    <col min="78" max="78" width="14.7109375" style="27" hidden="1" customWidth="1"/>
    <col min="79" max="79" width="12.7109375" style="27" hidden="1" customWidth="1"/>
    <col min="80" max="80" width="12.5703125" style="27" hidden="1" customWidth="1"/>
    <col min="81" max="82" width="11.7109375" style="27" hidden="1" customWidth="1"/>
    <col min="83" max="83" width="14.42578125" style="27" hidden="1" customWidth="1"/>
    <col min="84" max="84" width="14.85546875" style="27" hidden="1" customWidth="1"/>
    <col min="85" max="85" width="14.7109375" style="27" hidden="1" customWidth="1"/>
    <col min="86" max="86" width="16.28515625" style="27" hidden="1" customWidth="1"/>
    <col min="87" max="87" width="15.85546875" style="27" hidden="1" customWidth="1"/>
    <col min="88" max="88" width="15.7109375" style="27" hidden="1" customWidth="1"/>
    <col min="89" max="89" width="16.28515625" style="27" hidden="1" customWidth="1"/>
    <col min="90" max="90" width="15.140625" style="27" hidden="1" customWidth="1"/>
    <col min="91" max="91" width="14.42578125" style="27" hidden="1" customWidth="1"/>
    <col min="92" max="92" width="11.7109375" style="27" hidden="1" customWidth="1"/>
    <col min="93" max="93" width="13.85546875" style="27" hidden="1" customWidth="1"/>
    <col min="94" max="94" width="15.7109375" style="27" hidden="1" customWidth="1"/>
    <col min="95" max="95" width="12.85546875" style="27" hidden="1" customWidth="1"/>
    <col min="96" max="96" width="12.7109375" style="27" hidden="1" customWidth="1"/>
    <col min="97" max="97" width="14.5703125" style="27" hidden="1" customWidth="1"/>
    <col min="98" max="98" width="14.7109375" style="27" hidden="1" customWidth="1"/>
    <col min="99" max="100" width="11.7109375" style="27" hidden="1" customWidth="1"/>
    <col min="101" max="101" width="13.7109375" style="27" hidden="1" customWidth="1"/>
    <col min="102" max="102" width="14.140625" style="27" hidden="1" customWidth="1"/>
    <col min="103" max="104" width="14.28515625" style="26" hidden="1" customWidth="1"/>
    <col min="105" max="105" width="12.5703125" style="28" hidden="1" customWidth="1"/>
    <col min="106" max="106" width="12.28515625" style="28" hidden="1" customWidth="1"/>
    <col min="107" max="107" width="12.42578125" style="29" hidden="1" customWidth="1"/>
    <col min="108" max="108" width="16.140625" style="29" hidden="1" customWidth="1"/>
    <col min="109" max="112" width="14.28515625" style="29" hidden="1" customWidth="1"/>
    <col min="113" max="113" width="12.140625" style="28" hidden="1" customWidth="1"/>
    <col min="114" max="114" width="12.5703125" style="30" hidden="1" customWidth="1"/>
    <col min="115" max="115" width="12.140625" style="28" hidden="1" customWidth="1"/>
    <col min="116" max="116" width="15.28515625" style="28" hidden="1" customWidth="1"/>
    <col min="117" max="117" width="12.42578125" style="28" hidden="1" customWidth="1"/>
    <col min="118" max="118" width="10.5703125" style="28" hidden="1" customWidth="1"/>
    <col min="119" max="119" width="9.7109375" style="28" hidden="1" customWidth="1"/>
    <col min="120" max="124" width="8.85546875" style="28" hidden="1" customWidth="1"/>
    <col min="125" max="125" width="12.7109375" style="28" hidden="1" customWidth="1"/>
    <col min="126" max="126" width="13.140625" style="28" hidden="1" customWidth="1"/>
    <col min="127" max="127" width="15.28515625" style="28" hidden="1" customWidth="1"/>
    <col min="128" max="128" width="10.42578125" style="29" hidden="1" customWidth="1"/>
    <col min="129" max="129" width="10.28515625" style="29" hidden="1" customWidth="1"/>
    <col min="130" max="130" width="10.85546875" style="29" hidden="1" customWidth="1"/>
    <col min="131" max="132" width="11.7109375" style="29" hidden="1" customWidth="1"/>
    <col min="133" max="133" width="12.28515625" style="28" hidden="1" customWidth="1"/>
    <col min="134" max="134" width="12.85546875" style="28" hidden="1" customWidth="1"/>
    <col min="135" max="135" width="13.42578125" style="28" hidden="1" customWidth="1"/>
    <col min="136" max="136" width="14.5703125" style="28" hidden="1" customWidth="1"/>
    <col min="137" max="137" width="14.7109375" style="28" hidden="1" customWidth="1"/>
    <col min="138" max="138" width="12.42578125" style="28" hidden="1" customWidth="1"/>
    <col min="139" max="139" width="12" style="28" hidden="1" customWidth="1"/>
    <col min="140" max="140" width="13.7109375" style="28" hidden="1" customWidth="1"/>
    <col min="141" max="141" width="23.5703125" style="28" hidden="1" customWidth="1"/>
    <col min="142" max="142" width="14" style="29" hidden="1" customWidth="1"/>
    <col min="143" max="143" width="14.28515625" style="29" hidden="1" customWidth="1"/>
    <col min="144" max="144" width="12.7109375" style="28" hidden="1" customWidth="1"/>
    <col min="145" max="146" width="13.28515625" style="28" hidden="1" customWidth="1"/>
    <col min="147" max="147" width="15.28515625" style="28" hidden="1" customWidth="1"/>
    <col min="148" max="150" width="15.5703125" style="28" hidden="1" customWidth="1"/>
    <col min="151" max="152" width="13.7109375" style="28" hidden="1" customWidth="1"/>
    <col min="153" max="153" width="10.5703125" style="28" hidden="1" customWidth="1"/>
    <col min="154" max="154" width="16.85546875" style="28" hidden="1" customWidth="1"/>
    <col min="155" max="155" width="13.28515625" style="28" hidden="1" customWidth="1"/>
    <col min="156" max="161" width="8.85546875" style="28" hidden="1" customWidth="1"/>
    <col min="162" max="162" width="11.42578125" style="28" hidden="1" customWidth="1"/>
    <col min="163" max="163" width="14" style="28" hidden="1" customWidth="1"/>
    <col min="164" max="164" width="8.28515625" style="28" hidden="1" customWidth="1"/>
    <col min="165" max="165" width="7.28515625" style="28" hidden="1" customWidth="1"/>
    <col min="166" max="166" width="14.7109375" style="29" hidden="1" customWidth="1"/>
    <col min="167" max="167" width="14.28515625" style="29" hidden="1" customWidth="1"/>
    <col min="168" max="168" width="13.140625" style="29" hidden="1" customWidth="1"/>
    <col min="169" max="169" width="16.28515625" style="29" hidden="1" customWidth="1"/>
    <col min="170" max="170" width="16.5703125" style="29" hidden="1" customWidth="1"/>
    <col min="171" max="171" width="13.28515625" style="28" customWidth="1" outlineLevel="1"/>
    <col min="172" max="172" width="13.7109375" style="29" customWidth="1" outlineLevel="1"/>
    <col min="173" max="173" width="13.28515625" style="29" hidden="1" customWidth="1" outlineLevel="1"/>
    <col min="174" max="174" width="13.28515625" style="28" customWidth="1" outlineLevel="1"/>
    <col min="175" max="175" width="13.42578125" style="28" customWidth="1" outlineLevel="1"/>
    <col min="176" max="176" width="13.28515625" style="29" hidden="1" customWidth="1" outlineLevel="1"/>
    <col min="177" max="177" width="25.28515625" style="29" customWidth="1" outlineLevel="1"/>
    <col min="178" max="178" width="16.7109375" style="28" hidden="1" customWidth="1" outlineLevel="1"/>
    <col min="179" max="179" width="15.28515625" style="28" hidden="1" customWidth="1" outlineLevel="1"/>
    <col min="180" max="180" width="14.28515625" style="28" hidden="1" customWidth="1" outlineLevel="1"/>
    <col min="181" max="181" width="13.42578125" style="28" hidden="1" customWidth="1" outlineLevel="1"/>
    <col min="182" max="182" width="13.5703125" style="28" hidden="1" customWidth="1" outlineLevel="1"/>
    <col min="183" max="183" width="15" style="28" hidden="1" customWidth="1" outlineLevel="1"/>
    <col min="184" max="184" width="16.42578125" style="28" hidden="1" customWidth="1" outlineLevel="1"/>
    <col min="185" max="185" width="13.28515625" style="29" hidden="1" customWidth="1" outlineLevel="1"/>
    <col min="186" max="186" width="16.140625" style="29" hidden="1" customWidth="1" outlineLevel="1"/>
    <col min="187" max="194" width="15.5703125" style="28" hidden="1" customWidth="1" outlineLevel="1"/>
    <col min="195" max="195" width="16.28515625" style="29" hidden="1" customWidth="1" outlineLevel="1"/>
    <col min="196" max="196" width="16.5703125" style="29" hidden="1" customWidth="1" outlineLevel="1"/>
    <col min="197" max="197" width="13.28515625" style="28" customWidth="1" outlineLevel="1"/>
    <col min="198" max="198" width="13.7109375" style="29" customWidth="1" outlineLevel="1"/>
    <col min="199" max="199" width="13.28515625" style="29" hidden="1" customWidth="1" outlineLevel="1"/>
    <col min="200" max="200" width="13.28515625" style="28" customWidth="1" outlineLevel="1"/>
    <col min="201" max="201" width="13.42578125" style="28" customWidth="1" outlineLevel="1"/>
    <col min="202" max="202" width="13.28515625" style="29" hidden="1" customWidth="1" outlineLevel="1"/>
    <col min="203" max="203" width="25.5703125" style="32" customWidth="1" outlineLevel="1"/>
    <col min="204" max="204" width="16.7109375" style="28" hidden="1" customWidth="1"/>
    <col min="205" max="208" width="15.28515625" style="28" hidden="1" customWidth="1"/>
    <col min="209" max="209" width="13.28515625" style="28" customWidth="1"/>
    <col min="210" max="210" width="13.7109375" style="29" customWidth="1"/>
    <col min="211" max="211" width="13.28515625" style="29" hidden="1" customWidth="1"/>
    <col min="212" max="212" width="13.28515625" style="28" customWidth="1"/>
    <col min="213" max="213" width="13.42578125" style="28" customWidth="1"/>
    <col min="214" max="214" width="13.28515625" style="33" hidden="1" customWidth="1"/>
    <col min="215" max="215" width="25.5703125" style="32" customWidth="1" outlineLevel="1"/>
    <col min="216" max="16384" width="9.140625" style="1"/>
  </cols>
  <sheetData>
    <row r="1" spans="2:215" ht="17.45" customHeight="1">
      <c r="C1" s="24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52" t="s">
        <v>0</v>
      </c>
      <c r="AL1" s="252"/>
      <c r="AM1" s="252"/>
      <c r="AN1" s="252"/>
      <c r="AO1" s="252"/>
      <c r="AP1" s="252"/>
      <c r="EH1" s="28">
        <f>+EH301*1.18</f>
        <v>3182.3773999999999</v>
      </c>
      <c r="EM1" s="31" t="e">
        <f>+EL415+EL416+EL417</f>
        <v>#REF!</v>
      </c>
      <c r="EN1" s="28" t="e">
        <f>+EL416/EM1</f>
        <v>#REF!</v>
      </c>
      <c r="FP1" s="31"/>
      <c r="GP1" s="31"/>
      <c r="HB1" s="31"/>
    </row>
    <row r="2" spans="2:215" ht="23.25" customHeight="1">
      <c r="B2" s="245" t="s">
        <v>1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5"/>
      <c r="CE2" s="245"/>
      <c r="CF2" s="245"/>
      <c r="CG2" s="245"/>
      <c r="CH2" s="245"/>
      <c r="CI2" s="245"/>
      <c r="CJ2" s="245"/>
      <c r="CK2" s="245"/>
      <c r="CL2" s="245"/>
      <c r="CM2" s="245"/>
      <c r="CN2" s="245"/>
      <c r="CO2" s="245"/>
      <c r="CP2" s="245"/>
      <c r="CQ2" s="245"/>
      <c r="CR2" s="245"/>
      <c r="CS2" s="245"/>
      <c r="CT2" s="245"/>
      <c r="CU2" s="245"/>
      <c r="CV2" s="245"/>
      <c r="CW2" s="245"/>
      <c r="CX2" s="245"/>
      <c r="CY2" s="245"/>
      <c r="CZ2" s="245"/>
      <c r="DA2" s="245"/>
      <c r="DB2" s="245"/>
      <c r="DC2" s="245"/>
      <c r="DD2" s="245"/>
      <c r="DE2" s="245"/>
      <c r="DF2" s="245"/>
      <c r="DG2" s="245"/>
      <c r="DH2" s="245"/>
      <c r="DI2" s="245"/>
      <c r="DJ2" s="245"/>
      <c r="DK2" s="245"/>
      <c r="DL2" s="245"/>
      <c r="DM2" s="245"/>
      <c r="DN2" s="245"/>
      <c r="DO2" s="245"/>
      <c r="DP2" s="245"/>
      <c r="DQ2" s="245"/>
      <c r="DR2" s="245"/>
      <c r="DS2" s="245"/>
      <c r="DT2" s="245"/>
      <c r="DU2" s="245"/>
      <c r="DV2" s="245"/>
      <c r="DW2" s="245"/>
      <c r="DX2" s="245"/>
      <c r="DY2" s="245"/>
      <c r="DZ2" s="245"/>
      <c r="EA2" s="245"/>
      <c r="EB2" s="245"/>
      <c r="EC2" s="245"/>
      <c r="ED2" s="245"/>
      <c r="EE2" s="245"/>
      <c r="EF2" s="245"/>
      <c r="EG2" s="245"/>
      <c r="EH2" s="245"/>
      <c r="EI2" s="245"/>
      <c r="EJ2" s="245"/>
      <c r="EK2" s="245"/>
      <c r="EL2" s="245"/>
      <c r="EM2" s="245"/>
      <c r="EN2" s="245"/>
      <c r="EO2" s="245"/>
      <c r="EP2" s="245"/>
      <c r="EQ2" s="245"/>
      <c r="ER2" s="245"/>
      <c r="ES2" s="245"/>
      <c r="ET2" s="245"/>
      <c r="EU2" s="245"/>
      <c r="EV2" s="245"/>
      <c r="EW2" s="245"/>
      <c r="EX2" s="245"/>
      <c r="EY2" s="245"/>
      <c r="EZ2" s="245"/>
      <c r="FA2" s="245"/>
      <c r="FB2" s="245"/>
      <c r="FC2" s="245"/>
      <c r="FD2" s="245"/>
      <c r="FE2" s="245"/>
      <c r="FF2" s="245"/>
      <c r="FG2" s="245"/>
      <c r="FH2" s="245"/>
      <c r="FI2" s="245"/>
      <c r="FJ2" s="245"/>
      <c r="FK2" s="245"/>
      <c r="FL2" s="245"/>
      <c r="FM2" s="245"/>
      <c r="FN2" s="245"/>
      <c r="FO2" s="245"/>
      <c r="FP2" s="245"/>
      <c r="FQ2" s="245"/>
      <c r="FR2" s="245"/>
      <c r="FS2" s="245"/>
      <c r="FT2" s="245"/>
      <c r="FU2" s="245"/>
      <c r="FV2" s="245"/>
      <c r="FW2" s="245"/>
      <c r="FX2" s="245"/>
      <c r="FY2" s="245"/>
      <c r="FZ2" s="245"/>
      <c r="GA2" s="245"/>
      <c r="GB2" s="245"/>
      <c r="GC2" s="245"/>
      <c r="GD2" s="245"/>
      <c r="GE2" s="245"/>
      <c r="GF2" s="245"/>
      <c r="GG2" s="245"/>
      <c r="GH2" s="245"/>
      <c r="GI2" s="245"/>
      <c r="GJ2" s="245"/>
      <c r="GK2" s="245"/>
      <c r="GL2" s="245"/>
      <c r="GM2" s="245"/>
      <c r="GN2" s="245"/>
      <c r="GO2" s="245"/>
      <c r="GP2" s="245"/>
      <c r="GQ2" s="245"/>
      <c r="GR2" s="245"/>
      <c r="GS2" s="245"/>
      <c r="GT2" s="245"/>
      <c r="GU2" s="245"/>
      <c r="GV2" s="245"/>
      <c r="GW2" s="245"/>
      <c r="GX2" s="245"/>
      <c r="GY2" s="245"/>
      <c r="GZ2" s="245"/>
      <c r="HA2" s="245"/>
      <c r="HB2" s="245"/>
      <c r="HC2" s="245"/>
      <c r="HD2" s="245"/>
      <c r="HE2" s="245"/>
      <c r="HF2" s="34"/>
      <c r="HG2" s="33"/>
    </row>
    <row r="3" spans="2:215" s="4" customFormat="1" ht="16.899999999999999" customHeight="1" thickBot="1">
      <c r="B3" s="2"/>
      <c r="C3" s="28"/>
      <c r="D3" s="29"/>
      <c r="E3" s="29" t="s">
        <v>2</v>
      </c>
      <c r="F3" s="35">
        <f>+F9/E9</f>
        <v>0.55259999999999998</v>
      </c>
      <c r="G3" s="35">
        <f>+G9/E9</f>
        <v>0.14910000000000001</v>
      </c>
      <c r="H3" s="35">
        <f>+H9/E9</f>
        <v>0.29830000000000001</v>
      </c>
      <c r="I3" s="29"/>
      <c r="J3" s="35">
        <v>0.55259999999999998</v>
      </c>
      <c r="K3" s="35">
        <v>0.14910000000000001</v>
      </c>
      <c r="L3" s="35">
        <v>0.29830000000000001</v>
      </c>
      <c r="M3" s="29"/>
      <c r="N3" s="29"/>
      <c r="O3" s="36">
        <v>0.58960000000000001</v>
      </c>
      <c r="P3" s="36"/>
      <c r="Q3" s="36">
        <v>0.41039999999999999</v>
      </c>
      <c r="R3" s="29"/>
      <c r="S3" s="36">
        <v>0.58960000000000001</v>
      </c>
      <c r="T3" s="36"/>
      <c r="U3" s="36">
        <v>0.41039999999999999</v>
      </c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6"/>
      <c r="AP3" s="26"/>
      <c r="AQ3" s="26"/>
      <c r="AR3" s="26" t="e">
        <f>+#REF!*1.18</f>
        <v>#REF!</v>
      </c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6"/>
      <c r="CZ3" s="26"/>
      <c r="DA3" s="28"/>
      <c r="DB3" s="28"/>
      <c r="DC3" s="29"/>
      <c r="DD3" s="29"/>
      <c r="DE3" s="29"/>
      <c r="DF3" s="29"/>
      <c r="DG3" s="29"/>
      <c r="DH3" s="29"/>
      <c r="DI3" s="28"/>
      <c r="DJ3" s="30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9"/>
      <c r="DY3" s="29"/>
      <c r="DZ3" s="29"/>
      <c r="EA3" s="29"/>
      <c r="EB3" s="29"/>
      <c r="EC3" s="28"/>
      <c r="ED3" s="28"/>
      <c r="EE3" s="28"/>
      <c r="EF3" s="28"/>
      <c r="EG3" s="28"/>
      <c r="EH3" s="28"/>
      <c r="EI3" s="28"/>
      <c r="EJ3" s="28"/>
      <c r="EK3" s="28"/>
      <c r="EL3" s="29"/>
      <c r="EM3" s="29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9"/>
      <c r="FK3" s="29"/>
      <c r="FL3" s="29"/>
      <c r="FM3" s="29"/>
      <c r="FN3" s="29"/>
      <c r="FO3" s="28"/>
      <c r="FP3" s="29"/>
      <c r="FQ3" s="29"/>
      <c r="FR3" s="28"/>
      <c r="FS3" s="28"/>
      <c r="FT3" s="29"/>
      <c r="FU3" s="29"/>
      <c r="FV3" s="28"/>
      <c r="FW3" s="28"/>
      <c r="FX3" s="28"/>
      <c r="FY3" s="28"/>
      <c r="FZ3" s="28"/>
      <c r="GA3" s="28"/>
      <c r="GB3" s="28"/>
      <c r="GC3" s="29"/>
      <c r="GD3" s="29"/>
      <c r="GE3" s="28"/>
      <c r="GF3" s="28"/>
      <c r="GG3" s="28"/>
      <c r="GH3" s="28"/>
      <c r="GI3" s="28"/>
      <c r="GJ3" s="28"/>
      <c r="GK3" s="28"/>
      <c r="GL3" s="28"/>
      <c r="GM3" s="29"/>
      <c r="GN3" s="29"/>
      <c r="GO3" s="28"/>
      <c r="GP3" s="29"/>
      <c r="GQ3" s="29"/>
      <c r="GR3" s="28"/>
      <c r="GS3" s="28"/>
      <c r="GT3" s="29"/>
      <c r="GU3" s="32"/>
      <c r="GV3" s="28"/>
      <c r="GW3" s="28"/>
      <c r="GX3" s="28"/>
      <c r="GY3" s="28"/>
      <c r="GZ3" s="28"/>
      <c r="HA3" s="28"/>
      <c r="HB3" s="29"/>
      <c r="HC3" s="29"/>
      <c r="HD3" s="28"/>
      <c r="HE3" s="28"/>
      <c r="HF3" s="37"/>
      <c r="HG3" s="32"/>
    </row>
    <row r="4" spans="2:215" s="5" customFormat="1" ht="74.25" customHeight="1">
      <c r="B4" s="249" t="s">
        <v>3</v>
      </c>
      <c r="C4" s="244" t="s">
        <v>4</v>
      </c>
      <c r="D4" s="244" t="s">
        <v>5</v>
      </c>
      <c r="E4" s="244" t="s">
        <v>6</v>
      </c>
      <c r="F4" s="244" t="s">
        <v>7</v>
      </c>
      <c r="G4" s="244" t="s">
        <v>8</v>
      </c>
      <c r="H4" s="244" t="s">
        <v>9</v>
      </c>
      <c r="I4" s="244" t="s">
        <v>10</v>
      </c>
      <c r="J4" s="244" t="s">
        <v>11</v>
      </c>
      <c r="K4" s="244" t="s">
        <v>12</v>
      </c>
      <c r="L4" s="244" t="s">
        <v>13</v>
      </c>
      <c r="M4" s="244" t="s">
        <v>14</v>
      </c>
      <c r="N4" s="244" t="s">
        <v>15</v>
      </c>
      <c r="O4" s="244" t="s">
        <v>16</v>
      </c>
      <c r="P4" s="244" t="s">
        <v>17</v>
      </c>
      <c r="Q4" s="244" t="s">
        <v>18</v>
      </c>
      <c r="R4" s="244" t="s">
        <v>19</v>
      </c>
      <c r="S4" s="244" t="s">
        <v>20</v>
      </c>
      <c r="T4" s="244" t="s">
        <v>21</v>
      </c>
      <c r="U4" s="244" t="s">
        <v>22</v>
      </c>
      <c r="V4" s="251" t="s">
        <v>23</v>
      </c>
      <c r="W4" s="244" t="s">
        <v>24</v>
      </c>
      <c r="X4" s="244"/>
      <c r="Y4" s="244"/>
      <c r="Z4" s="244"/>
      <c r="AA4" s="244"/>
      <c r="AB4" s="244"/>
      <c r="AC4" s="244" t="s">
        <v>25</v>
      </c>
      <c r="AD4" s="244"/>
      <c r="AE4" s="244"/>
      <c r="AF4" s="244"/>
      <c r="AG4" s="244"/>
      <c r="AH4" s="244" t="s">
        <v>26</v>
      </c>
      <c r="AI4" s="244" t="s">
        <v>27</v>
      </c>
      <c r="AJ4" s="244"/>
      <c r="AK4" s="244"/>
      <c r="AL4" s="244"/>
      <c r="AM4" s="244"/>
      <c r="AN4" s="244"/>
      <c r="AO4" s="246" t="s">
        <v>544</v>
      </c>
      <c r="AP4" s="246" t="s">
        <v>545</v>
      </c>
      <c r="AQ4" s="244" t="s">
        <v>28</v>
      </c>
      <c r="AR4" s="244"/>
      <c r="AS4" s="244"/>
      <c r="AT4" s="244"/>
      <c r="AU4" s="244"/>
      <c r="AV4" s="174"/>
      <c r="AW4" s="244" t="s">
        <v>29</v>
      </c>
      <c r="AX4" s="244" t="s">
        <v>30</v>
      </c>
      <c r="AY4" s="244" t="s">
        <v>31</v>
      </c>
      <c r="AZ4" s="244" t="s">
        <v>32</v>
      </c>
      <c r="BA4" s="244" t="s">
        <v>33</v>
      </c>
      <c r="BB4" s="244" t="s">
        <v>34</v>
      </c>
      <c r="BC4" s="244" t="s">
        <v>35</v>
      </c>
      <c r="BD4" s="244"/>
      <c r="BE4" s="244"/>
      <c r="BF4" s="244" t="s">
        <v>36</v>
      </c>
      <c r="BG4" s="244"/>
      <c r="BH4" s="244"/>
      <c r="BI4" s="175"/>
      <c r="BJ4" s="244" t="s">
        <v>30</v>
      </c>
      <c r="BK4" s="244" t="s">
        <v>37</v>
      </c>
      <c r="BL4" s="244"/>
      <c r="BM4" s="244"/>
      <c r="BN4" s="244"/>
      <c r="BO4" s="244" t="s">
        <v>38</v>
      </c>
      <c r="BP4" s="244"/>
      <c r="BQ4" s="244"/>
      <c r="BR4" s="244"/>
      <c r="BS4" s="244" t="s">
        <v>39</v>
      </c>
      <c r="BT4" s="244"/>
      <c r="BU4" s="244"/>
      <c r="BV4" s="244"/>
      <c r="BW4" s="244" t="s">
        <v>40</v>
      </c>
      <c r="BX4" s="244"/>
      <c r="BY4" s="244"/>
      <c r="BZ4" s="244"/>
      <c r="CA4" s="244" t="s">
        <v>41</v>
      </c>
      <c r="CB4" s="244"/>
      <c r="CC4" s="244"/>
      <c r="CD4" s="244"/>
      <c r="CE4" s="244" t="s">
        <v>546</v>
      </c>
      <c r="CF4" s="244" t="s">
        <v>547</v>
      </c>
      <c r="CG4" s="244" t="s">
        <v>548</v>
      </c>
      <c r="CH4" s="244" t="s">
        <v>549</v>
      </c>
      <c r="CI4" s="244" t="s">
        <v>550</v>
      </c>
      <c r="CJ4" s="244" t="s">
        <v>551</v>
      </c>
      <c r="CK4" s="244" t="s">
        <v>552</v>
      </c>
      <c r="CL4" s="244" t="s">
        <v>553</v>
      </c>
      <c r="CM4" s="244" t="s">
        <v>554</v>
      </c>
      <c r="CN4" s="244" t="s">
        <v>42</v>
      </c>
      <c r="CO4" s="244" t="s">
        <v>555</v>
      </c>
      <c r="CP4" s="244" t="s">
        <v>556</v>
      </c>
      <c r="CQ4" s="244" t="s">
        <v>557</v>
      </c>
      <c r="CR4" s="244" t="s">
        <v>558</v>
      </c>
      <c r="CS4" s="244" t="s">
        <v>559</v>
      </c>
      <c r="CT4" s="244" t="s">
        <v>560</v>
      </c>
      <c r="CU4" s="244" t="s">
        <v>43</v>
      </c>
      <c r="CV4" s="244" t="s">
        <v>44</v>
      </c>
      <c r="CW4" s="246" t="s">
        <v>45</v>
      </c>
      <c r="CX4" s="246"/>
      <c r="CY4" s="246" t="s">
        <v>46</v>
      </c>
      <c r="CZ4" s="246"/>
      <c r="DA4" s="244" t="s">
        <v>47</v>
      </c>
      <c r="DB4" s="244"/>
      <c r="DC4" s="248" t="s">
        <v>48</v>
      </c>
      <c r="DD4" s="248"/>
      <c r="DE4" s="244" t="s">
        <v>49</v>
      </c>
      <c r="DF4" s="244" t="s">
        <v>50</v>
      </c>
      <c r="DG4" s="244" t="s">
        <v>51</v>
      </c>
      <c r="DH4" s="244" t="s">
        <v>52</v>
      </c>
      <c r="DI4" s="176"/>
      <c r="DJ4" s="175"/>
      <c r="DK4" s="176"/>
      <c r="DL4" s="176"/>
      <c r="DM4" s="176"/>
      <c r="DN4" s="176"/>
      <c r="DO4" s="176"/>
      <c r="DP4" s="176"/>
      <c r="DQ4" s="176"/>
      <c r="DR4" s="176"/>
      <c r="DS4" s="176"/>
      <c r="DT4" s="176"/>
      <c r="DU4" s="176"/>
      <c r="DV4" s="246" t="s">
        <v>53</v>
      </c>
      <c r="DW4" s="246"/>
      <c r="DX4" s="244" t="s">
        <v>47</v>
      </c>
      <c r="DY4" s="244"/>
      <c r="DZ4" s="246" t="s">
        <v>54</v>
      </c>
      <c r="EA4" s="246" t="s">
        <v>55</v>
      </c>
      <c r="EB4" s="244" t="s">
        <v>56</v>
      </c>
      <c r="EC4" s="244" t="s">
        <v>57</v>
      </c>
      <c r="ED4" s="244" t="s">
        <v>58</v>
      </c>
      <c r="EE4" s="244" t="s">
        <v>59</v>
      </c>
      <c r="EF4" s="244"/>
      <c r="EG4" s="244"/>
      <c r="EH4" s="244" t="s">
        <v>60</v>
      </c>
      <c r="EI4" s="244"/>
      <c r="EJ4" s="244"/>
      <c r="EK4" s="244" t="s">
        <v>30</v>
      </c>
      <c r="EL4" s="244" t="s">
        <v>61</v>
      </c>
      <c r="EM4" s="244" t="s">
        <v>62</v>
      </c>
      <c r="EN4" s="246" t="s">
        <v>63</v>
      </c>
      <c r="EO4" s="246"/>
      <c r="EP4" s="246" t="s">
        <v>64</v>
      </c>
      <c r="EQ4" s="177" t="s">
        <v>65</v>
      </c>
      <c r="ER4" s="177" t="s">
        <v>66</v>
      </c>
      <c r="ES4" s="244" t="s">
        <v>67</v>
      </c>
      <c r="ET4" s="246" t="s">
        <v>68</v>
      </c>
      <c r="EU4" s="244" t="s">
        <v>69</v>
      </c>
      <c r="EV4" s="246" t="s">
        <v>68</v>
      </c>
      <c r="EW4" s="176"/>
      <c r="EX4" s="246" t="s">
        <v>70</v>
      </c>
      <c r="EY4" s="246" t="s">
        <v>71</v>
      </c>
      <c r="EZ4" s="176"/>
      <c r="FA4" s="176"/>
      <c r="FB4" s="176"/>
      <c r="FC4" s="176"/>
      <c r="FD4" s="176"/>
      <c r="FE4" s="176"/>
      <c r="FF4" s="176"/>
      <c r="FG4" s="176"/>
      <c r="FH4" s="246"/>
      <c r="FI4" s="176"/>
      <c r="FJ4" s="246" t="s">
        <v>72</v>
      </c>
      <c r="FK4" s="246" t="s">
        <v>73</v>
      </c>
      <c r="FL4" s="246" t="s">
        <v>74</v>
      </c>
      <c r="FM4" s="244" t="s">
        <v>75</v>
      </c>
      <c r="FN4" s="244" t="s">
        <v>76</v>
      </c>
      <c r="FO4" s="244" t="s">
        <v>595</v>
      </c>
      <c r="FP4" s="244"/>
      <c r="FQ4" s="244"/>
      <c r="FR4" s="244" t="s">
        <v>596</v>
      </c>
      <c r="FS4" s="244"/>
      <c r="FT4" s="244"/>
      <c r="FU4" s="244" t="s">
        <v>30</v>
      </c>
      <c r="FV4" s="246" t="s">
        <v>77</v>
      </c>
      <c r="FW4" s="246" t="s">
        <v>78</v>
      </c>
      <c r="FX4" s="247" t="s">
        <v>79</v>
      </c>
      <c r="FY4" s="246" t="s">
        <v>80</v>
      </c>
      <c r="FZ4" s="246"/>
      <c r="GA4" s="246" t="s">
        <v>81</v>
      </c>
      <c r="GB4" s="246"/>
      <c r="GC4" s="246" t="s">
        <v>82</v>
      </c>
      <c r="GD4" s="244" t="s">
        <v>83</v>
      </c>
      <c r="GE4" s="244" t="s">
        <v>84</v>
      </c>
      <c r="GF4" s="244" t="s">
        <v>85</v>
      </c>
      <c r="GG4" s="246" t="s">
        <v>561</v>
      </c>
      <c r="GH4" s="244" t="s">
        <v>562</v>
      </c>
      <c r="GI4" s="244" t="s">
        <v>86</v>
      </c>
      <c r="GJ4" s="244" t="s">
        <v>87</v>
      </c>
      <c r="GK4" s="246" t="s">
        <v>563</v>
      </c>
      <c r="GL4" s="244" t="s">
        <v>564</v>
      </c>
      <c r="GM4" s="244" t="s">
        <v>88</v>
      </c>
      <c r="GN4" s="244" t="s">
        <v>89</v>
      </c>
      <c r="GO4" s="244" t="s">
        <v>599</v>
      </c>
      <c r="GP4" s="244"/>
      <c r="GQ4" s="244"/>
      <c r="GR4" s="244" t="s">
        <v>600</v>
      </c>
      <c r="GS4" s="244"/>
      <c r="GT4" s="244"/>
      <c r="GU4" s="244" t="s">
        <v>30</v>
      </c>
      <c r="GV4" s="246" t="s">
        <v>90</v>
      </c>
      <c r="GW4" s="246" t="s">
        <v>91</v>
      </c>
      <c r="GX4" s="246" t="s">
        <v>92</v>
      </c>
      <c r="GY4" s="246"/>
      <c r="GZ4" s="244" t="s">
        <v>93</v>
      </c>
      <c r="HA4" s="244" t="s">
        <v>603</v>
      </c>
      <c r="HB4" s="244"/>
      <c r="HC4" s="244"/>
      <c r="HD4" s="244" t="s">
        <v>606</v>
      </c>
      <c r="HE4" s="244"/>
      <c r="HF4" s="174"/>
      <c r="HG4" s="244" t="s">
        <v>30</v>
      </c>
    </row>
    <row r="5" spans="2:215" s="5" customFormat="1" ht="78" customHeight="1" thickBot="1">
      <c r="B5" s="250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51"/>
      <c r="W5" s="175" t="s">
        <v>94</v>
      </c>
      <c r="X5" s="177" t="s">
        <v>95</v>
      </c>
      <c r="Y5" s="175" t="s">
        <v>96</v>
      </c>
      <c r="Z5" s="177" t="s">
        <v>565</v>
      </c>
      <c r="AA5" s="175" t="s">
        <v>97</v>
      </c>
      <c r="AB5" s="177" t="s">
        <v>566</v>
      </c>
      <c r="AC5" s="175" t="s">
        <v>98</v>
      </c>
      <c r="AD5" s="175" t="s">
        <v>99</v>
      </c>
      <c r="AE5" s="177" t="s">
        <v>567</v>
      </c>
      <c r="AF5" s="175" t="s">
        <v>100</v>
      </c>
      <c r="AG5" s="177" t="s">
        <v>567</v>
      </c>
      <c r="AH5" s="244"/>
      <c r="AI5" s="175" t="s">
        <v>94</v>
      </c>
      <c r="AJ5" s="177" t="s">
        <v>95</v>
      </c>
      <c r="AK5" s="175" t="s">
        <v>96</v>
      </c>
      <c r="AL5" s="177" t="s">
        <v>565</v>
      </c>
      <c r="AM5" s="175" t="s">
        <v>97</v>
      </c>
      <c r="AN5" s="177" t="s">
        <v>566</v>
      </c>
      <c r="AO5" s="244"/>
      <c r="AP5" s="244"/>
      <c r="AQ5" s="175" t="s">
        <v>98</v>
      </c>
      <c r="AR5" s="175" t="s">
        <v>99</v>
      </c>
      <c r="AS5" s="177" t="s">
        <v>567</v>
      </c>
      <c r="AT5" s="175" t="s">
        <v>100</v>
      </c>
      <c r="AU5" s="177" t="s">
        <v>567</v>
      </c>
      <c r="AV5" s="175" t="s">
        <v>101</v>
      </c>
      <c r="AW5" s="244"/>
      <c r="AX5" s="244"/>
      <c r="AY5" s="244"/>
      <c r="AZ5" s="244"/>
      <c r="BA5" s="244"/>
      <c r="BB5" s="244"/>
      <c r="BC5" s="175" t="s">
        <v>102</v>
      </c>
      <c r="BD5" s="175" t="s">
        <v>103</v>
      </c>
      <c r="BE5" s="177" t="s">
        <v>568</v>
      </c>
      <c r="BF5" s="175" t="s">
        <v>102</v>
      </c>
      <c r="BG5" s="175" t="s">
        <v>103</v>
      </c>
      <c r="BH5" s="177" t="s">
        <v>568</v>
      </c>
      <c r="BI5" s="177"/>
      <c r="BJ5" s="244"/>
      <c r="BK5" s="177" t="s">
        <v>104</v>
      </c>
      <c r="BL5" s="177" t="s">
        <v>32</v>
      </c>
      <c r="BM5" s="175" t="s">
        <v>105</v>
      </c>
      <c r="BN5" s="177" t="s">
        <v>106</v>
      </c>
      <c r="BO5" s="177" t="s">
        <v>104</v>
      </c>
      <c r="BP5" s="177" t="s">
        <v>32</v>
      </c>
      <c r="BQ5" s="177" t="s">
        <v>105</v>
      </c>
      <c r="BR5" s="177" t="s">
        <v>106</v>
      </c>
      <c r="BS5" s="177" t="s">
        <v>104</v>
      </c>
      <c r="BT5" s="177" t="s">
        <v>32</v>
      </c>
      <c r="BU5" s="177" t="s">
        <v>105</v>
      </c>
      <c r="BV5" s="177" t="s">
        <v>106</v>
      </c>
      <c r="BW5" s="177" t="s">
        <v>104</v>
      </c>
      <c r="BX5" s="177" t="s">
        <v>32</v>
      </c>
      <c r="BY5" s="177" t="s">
        <v>105</v>
      </c>
      <c r="BZ5" s="177" t="s">
        <v>106</v>
      </c>
      <c r="CA5" s="177" t="s">
        <v>104</v>
      </c>
      <c r="CB5" s="177" t="s">
        <v>32</v>
      </c>
      <c r="CC5" s="177" t="s">
        <v>105</v>
      </c>
      <c r="CD5" s="177" t="s">
        <v>106</v>
      </c>
      <c r="CE5" s="244"/>
      <c r="CF5" s="244"/>
      <c r="CG5" s="244"/>
      <c r="CH5" s="244"/>
      <c r="CI5" s="244"/>
      <c r="CJ5" s="244"/>
      <c r="CK5" s="244"/>
      <c r="CL5" s="244"/>
      <c r="CM5" s="244"/>
      <c r="CN5" s="244"/>
      <c r="CO5" s="244"/>
      <c r="CP5" s="244"/>
      <c r="CQ5" s="244"/>
      <c r="CR5" s="244"/>
      <c r="CS5" s="244"/>
      <c r="CT5" s="244"/>
      <c r="CU5" s="244"/>
      <c r="CV5" s="244"/>
      <c r="CW5" s="177" t="s">
        <v>107</v>
      </c>
      <c r="CX5" s="177" t="s">
        <v>108</v>
      </c>
      <c r="CY5" s="177" t="s">
        <v>107</v>
      </c>
      <c r="CZ5" s="177" t="s">
        <v>108</v>
      </c>
      <c r="DA5" s="175" t="s">
        <v>109</v>
      </c>
      <c r="DB5" s="175" t="s">
        <v>110</v>
      </c>
      <c r="DC5" s="175" t="s">
        <v>111</v>
      </c>
      <c r="DD5" s="175" t="s">
        <v>112</v>
      </c>
      <c r="DE5" s="244"/>
      <c r="DF5" s="244"/>
      <c r="DG5" s="244"/>
      <c r="DH5" s="244"/>
      <c r="DI5" s="176"/>
      <c r="DJ5" s="175"/>
      <c r="DK5" s="176"/>
      <c r="DL5" s="176"/>
      <c r="DM5" s="176"/>
      <c r="DN5" s="176"/>
      <c r="DO5" s="176"/>
      <c r="DP5" s="176"/>
      <c r="DQ5" s="176"/>
      <c r="DR5" s="176"/>
      <c r="DS5" s="176"/>
      <c r="DT5" s="176"/>
      <c r="DU5" s="177" t="s">
        <v>113</v>
      </c>
      <c r="DV5" s="177" t="s">
        <v>107</v>
      </c>
      <c r="DW5" s="177" t="s">
        <v>108</v>
      </c>
      <c r="DX5" s="177">
        <v>2013</v>
      </c>
      <c r="DY5" s="177">
        <v>2014</v>
      </c>
      <c r="DZ5" s="246"/>
      <c r="EA5" s="246"/>
      <c r="EB5" s="244"/>
      <c r="EC5" s="244"/>
      <c r="ED5" s="244"/>
      <c r="EE5" s="175" t="s">
        <v>114</v>
      </c>
      <c r="EF5" s="175" t="s">
        <v>115</v>
      </c>
      <c r="EG5" s="177" t="s">
        <v>569</v>
      </c>
      <c r="EH5" s="175" t="s">
        <v>114</v>
      </c>
      <c r="EI5" s="175" t="s">
        <v>115</v>
      </c>
      <c r="EJ5" s="177" t="s">
        <v>570</v>
      </c>
      <c r="EK5" s="244"/>
      <c r="EL5" s="244"/>
      <c r="EM5" s="244"/>
      <c r="EN5" s="177" t="s">
        <v>107</v>
      </c>
      <c r="EO5" s="177" t="s">
        <v>108</v>
      </c>
      <c r="EP5" s="246"/>
      <c r="EQ5" s="177">
        <v>2015</v>
      </c>
      <c r="ER5" s="177">
        <v>2015</v>
      </c>
      <c r="ES5" s="244"/>
      <c r="ET5" s="246"/>
      <c r="EU5" s="244"/>
      <c r="EV5" s="246"/>
      <c r="EW5" s="176"/>
      <c r="EX5" s="246"/>
      <c r="EY5" s="246"/>
      <c r="EZ5" s="176"/>
      <c r="FA5" s="176"/>
      <c r="FB5" s="176"/>
      <c r="FC5" s="176"/>
      <c r="FD5" s="176"/>
      <c r="FE5" s="176"/>
      <c r="FF5" s="176"/>
      <c r="FG5" s="176"/>
      <c r="FH5" s="246"/>
      <c r="FI5" s="176"/>
      <c r="FJ5" s="246"/>
      <c r="FK5" s="246"/>
      <c r="FL5" s="246"/>
      <c r="FM5" s="244"/>
      <c r="FN5" s="244"/>
      <c r="FO5" s="175" t="s">
        <v>597</v>
      </c>
      <c r="FP5" s="175" t="s">
        <v>598</v>
      </c>
      <c r="FQ5" s="177" t="s">
        <v>571</v>
      </c>
      <c r="FR5" s="175" t="s">
        <v>597</v>
      </c>
      <c r="FS5" s="175" t="s">
        <v>598</v>
      </c>
      <c r="FT5" s="177" t="s">
        <v>572</v>
      </c>
      <c r="FU5" s="244"/>
      <c r="FV5" s="246"/>
      <c r="FW5" s="246"/>
      <c r="FX5" s="247"/>
      <c r="FY5" s="177" t="s">
        <v>107</v>
      </c>
      <c r="FZ5" s="177" t="s">
        <v>108</v>
      </c>
      <c r="GA5" s="177" t="s">
        <v>107</v>
      </c>
      <c r="GB5" s="177" t="s">
        <v>108</v>
      </c>
      <c r="GC5" s="246"/>
      <c r="GD5" s="244"/>
      <c r="GE5" s="244"/>
      <c r="GF5" s="244"/>
      <c r="GG5" s="246"/>
      <c r="GH5" s="244"/>
      <c r="GI5" s="244"/>
      <c r="GJ5" s="244"/>
      <c r="GK5" s="246"/>
      <c r="GL5" s="244"/>
      <c r="GM5" s="244"/>
      <c r="GN5" s="244"/>
      <c r="GO5" s="175" t="s">
        <v>601</v>
      </c>
      <c r="GP5" s="175" t="s">
        <v>602</v>
      </c>
      <c r="GQ5" s="177" t="s">
        <v>571</v>
      </c>
      <c r="GR5" s="175" t="s">
        <v>601</v>
      </c>
      <c r="GS5" s="175" t="s">
        <v>602</v>
      </c>
      <c r="GT5" s="177" t="s">
        <v>572</v>
      </c>
      <c r="GU5" s="244"/>
      <c r="GV5" s="246"/>
      <c r="GW5" s="246"/>
      <c r="GX5" s="177" t="s">
        <v>107</v>
      </c>
      <c r="GY5" s="177" t="s">
        <v>108</v>
      </c>
      <c r="GZ5" s="244"/>
      <c r="HA5" s="175" t="s">
        <v>604</v>
      </c>
      <c r="HB5" s="175" t="s">
        <v>605</v>
      </c>
      <c r="HC5" s="177" t="s">
        <v>571</v>
      </c>
      <c r="HD5" s="175" t="s">
        <v>604</v>
      </c>
      <c r="HE5" s="175" t="s">
        <v>605</v>
      </c>
      <c r="HF5" s="178" t="s">
        <v>116</v>
      </c>
      <c r="HG5" s="244"/>
    </row>
    <row r="6" spans="2:215" s="5" customFormat="1" ht="9.6" customHeight="1" thickBot="1">
      <c r="B6" s="6" t="s">
        <v>117</v>
      </c>
      <c r="C6" s="179">
        <f>+B6+1</f>
        <v>2</v>
      </c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 t="s">
        <v>118</v>
      </c>
      <c r="W6" s="179">
        <f t="shared" ref="W6:AB6" si="0">+V6+1</f>
        <v>8</v>
      </c>
      <c r="X6" s="179">
        <f t="shared" si="0"/>
        <v>9</v>
      </c>
      <c r="Y6" s="179">
        <f t="shared" si="0"/>
        <v>10</v>
      </c>
      <c r="Z6" s="179">
        <f t="shared" si="0"/>
        <v>11</v>
      </c>
      <c r="AA6" s="179">
        <f t="shared" si="0"/>
        <v>12</v>
      </c>
      <c r="AB6" s="179">
        <f t="shared" si="0"/>
        <v>13</v>
      </c>
      <c r="AC6" s="179" t="s">
        <v>119</v>
      </c>
      <c r="AD6" s="179"/>
      <c r="AE6" s="179" t="s">
        <v>120</v>
      </c>
      <c r="AF6" s="179" t="s">
        <v>121</v>
      </c>
      <c r="AG6" s="179"/>
      <c r="AH6" s="179" t="s">
        <v>122</v>
      </c>
      <c r="AI6" s="179">
        <f>+AH6+1</f>
        <v>18</v>
      </c>
      <c r="AJ6" s="179">
        <f>+AI6+1</f>
        <v>19</v>
      </c>
      <c r="AK6" s="179" t="s">
        <v>123</v>
      </c>
      <c r="AL6" s="179">
        <f>+AK6+1</f>
        <v>20</v>
      </c>
      <c r="AM6" s="179" t="s">
        <v>124</v>
      </c>
      <c r="AN6" s="179">
        <f>+AM6+1</f>
        <v>21</v>
      </c>
      <c r="AO6" s="179">
        <f>+AN6+1</f>
        <v>22</v>
      </c>
      <c r="AP6" s="179">
        <f>+AO6+1</f>
        <v>23</v>
      </c>
      <c r="AQ6" s="179"/>
      <c r="AR6" s="179"/>
      <c r="AS6" s="176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6"/>
      <c r="BF6" s="179"/>
      <c r="BG6" s="179"/>
      <c r="BH6" s="176"/>
      <c r="BI6" s="176"/>
      <c r="BJ6" s="176"/>
      <c r="BK6" s="177"/>
      <c r="BL6" s="177"/>
      <c r="BM6" s="177"/>
      <c r="BN6" s="177"/>
      <c r="BO6" s="177"/>
      <c r="BP6" s="177"/>
      <c r="BQ6" s="177"/>
      <c r="BR6" s="177"/>
      <c r="BS6" s="177"/>
      <c r="BT6" s="177"/>
      <c r="BU6" s="177"/>
      <c r="BV6" s="177"/>
      <c r="BW6" s="177"/>
      <c r="BX6" s="177"/>
      <c r="BY6" s="177"/>
      <c r="BZ6" s="177"/>
      <c r="CA6" s="177"/>
      <c r="CB6" s="177"/>
      <c r="CC6" s="177"/>
      <c r="CD6" s="177"/>
      <c r="CE6" s="177"/>
      <c r="CF6" s="177"/>
      <c r="CG6" s="177"/>
      <c r="CH6" s="177"/>
      <c r="CI6" s="177"/>
      <c r="CJ6" s="177"/>
      <c r="CK6" s="177"/>
      <c r="CL6" s="177"/>
      <c r="CM6" s="177"/>
      <c r="CN6" s="177"/>
      <c r="CO6" s="177"/>
      <c r="CP6" s="177"/>
      <c r="CQ6" s="177"/>
      <c r="CR6" s="177"/>
      <c r="CS6" s="177"/>
      <c r="CT6" s="177"/>
      <c r="CU6" s="177"/>
      <c r="CV6" s="177"/>
      <c r="CW6" s="177"/>
      <c r="CX6" s="177"/>
      <c r="CY6" s="176"/>
      <c r="CZ6" s="176"/>
      <c r="DA6" s="176"/>
      <c r="DB6" s="176"/>
      <c r="DC6" s="177"/>
      <c r="DD6" s="177"/>
      <c r="DE6" s="175"/>
      <c r="DF6" s="175"/>
      <c r="DG6" s="175"/>
      <c r="DH6" s="175"/>
      <c r="DI6" s="176"/>
      <c r="DJ6" s="175" t="s">
        <v>125</v>
      </c>
      <c r="DK6" s="174" t="s">
        <v>126</v>
      </c>
      <c r="DL6" s="174" t="s">
        <v>127</v>
      </c>
      <c r="DM6" s="176"/>
      <c r="DN6" s="176"/>
      <c r="DO6" s="176"/>
      <c r="DP6" s="176"/>
      <c r="DQ6" s="176"/>
      <c r="DR6" s="176"/>
      <c r="DS6" s="176"/>
      <c r="DT6" s="176"/>
      <c r="DU6" s="176"/>
      <c r="DV6" s="176"/>
      <c r="DW6" s="176"/>
      <c r="DX6" s="177"/>
      <c r="DY6" s="177"/>
      <c r="DZ6" s="177"/>
      <c r="EA6" s="177"/>
      <c r="EB6" s="177"/>
      <c r="EC6" s="176"/>
      <c r="ED6" s="176"/>
      <c r="EE6" s="179"/>
      <c r="EF6" s="179"/>
      <c r="EG6" s="176"/>
      <c r="EH6" s="179"/>
      <c r="EI6" s="179"/>
      <c r="EJ6" s="176"/>
      <c r="EK6" s="176"/>
      <c r="EL6" s="38"/>
      <c r="EM6" s="38"/>
      <c r="EN6" s="176"/>
      <c r="EO6" s="176"/>
      <c r="EP6" s="176"/>
      <c r="EQ6" s="176"/>
      <c r="ER6" s="176"/>
      <c r="ES6" s="176"/>
      <c r="ET6" s="176"/>
      <c r="EU6" s="176"/>
      <c r="EV6" s="176"/>
      <c r="EW6" s="176"/>
      <c r="EX6" s="176"/>
      <c r="EY6" s="176"/>
      <c r="EZ6" s="176"/>
      <c r="FA6" s="176"/>
      <c r="FB6" s="176"/>
      <c r="FC6" s="176"/>
      <c r="FD6" s="176"/>
      <c r="FE6" s="176"/>
      <c r="FF6" s="176"/>
      <c r="FG6" s="176"/>
      <c r="FH6" s="176"/>
      <c r="FI6" s="176"/>
      <c r="FJ6" s="176"/>
      <c r="FK6" s="176"/>
      <c r="FL6" s="176"/>
      <c r="FM6" s="38"/>
      <c r="FN6" s="38"/>
      <c r="FO6" s="176"/>
      <c r="FP6" s="176"/>
      <c r="FQ6" s="176"/>
      <c r="FR6" s="176"/>
      <c r="FS6" s="176"/>
      <c r="FT6" s="176"/>
      <c r="FU6" s="176"/>
      <c r="FV6" s="176"/>
      <c r="FW6" s="176"/>
      <c r="FX6" s="38"/>
      <c r="FY6" s="176"/>
      <c r="FZ6" s="176"/>
      <c r="GA6" s="176"/>
      <c r="GB6" s="176"/>
      <c r="GC6" s="177"/>
      <c r="GD6" s="177"/>
      <c r="GE6" s="176"/>
      <c r="GF6" s="176"/>
      <c r="GG6" s="176"/>
      <c r="GH6" s="176"/>
      <c r="GI6" s="176"/>
      <c r="GJ6" s="176"/>
      <c r="GK6" s="176"/>
      <c r="GL6" s="176"/>
      <c r="GM6" s="38"/>
      <c r="GN6" s="38"/>
      <c r="GO6" s="176"/>
      <c r="GP6" s="176"/>
      <c r="GQ6" s="176"/>
      <c r="GR6" s="176"/>
      <c r="GS6" s="176"/>
      <c r="GT6" s="176"/>
      <c r="GU6" s="176"/>
      <c r="GV6" s="176"/>
      <c r="GW6" s="176"/>
      <c r="GX6" s="176"/>
      <c r="GY6" s="176"/>
      <c r="GZ6" s="176"/>
      <c r="HA6" s="176"/>
      <c r="HB6" s="176"/>
      <c r="HC6" s="176"/>
      <c r="HD6" s="176"/>
      <c r="HE6" s="176"/>
      <c r="HF6" s="180"/>
      <c r="HG6" s="237"/>
    </row>
    <row r="7" spans="2:215" ht="18" customHeight="1" thickBot="1">
      <c r="B7" s="7" t="s">
        <v>117</v>
      </c>
      <c r="C7" s="80" t="s">
        <v>128</v>
      </c>
      <c r="D7" s="80"/>
      <c r="E7" s="128"/>
      <c r="F7" s="80"/>
      <c r="G7" s="80"/>
      <c r="H7" s="80"/>
      <c r="I7" s="128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39"/>
      <c r="W7" s="39"/>
      <c r="X7" s="39"/>
      <c r="Y7" s="39"/>
      <c r="Z7" s="39"/>
      <c r="AA7" s="39"/>
      <c r="AB7" s="39"/>
      <c r="AC7" s="39"/>
      <c r="AD7" s="39"/>
      <c r="AE7" s="166"/>
      <c r="AF7" s="39"/>
      <c r="AG7" s="166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166"/>
      <c r="AV7" s="77"/>
      <c r="AW7" s="77">
        <f>+CY7/$CY$7*100</f>
        <v>100</v>
      </c>
      <c r="AX7" s="78"/>
      <c r="AY7" s="39"/>
      <c r="AZ7" s="39"/>
      <c r="BA7" s="39"/>
      <c r="BB7" s="39"/>
      <c r="BC7" s="39"/>
      <c r="BD7" s="39"/>
      <c r="BE7" s="22">
        <f t="shared" ref="BE7:BE30" si="1">+IF(BC7=0,,BD7/BC7*100)</f>
        <v>0</v>
      </c>
      <c r="BF7" s="39"/>
      <c r="BG7" s="39"/>
      <c r="BH7" s="22">
        <f t="shared" ref="BH7:BH30" si="2">+IF(BF7=0,,BG7/BF7*100)</f>
        <v>0</v>
      </c>
      <c r="BI7" s="22"/>
      <c r="BJ7" s="40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19">
        <f>+SUM(BX8:BX12)</f>
        <v>8297.680320598809</v>
      </c>
      <c r="BY7" s="19">
        <f>+SUM(BY8:BY12)</f>
        <v>3640.0920108714072</v>
      </c>
      <c r="BZ7" s="46"/>
      <c r="CA7" s="46"/>
      <c r="CB7" s="19">
        <f>+SUM(CB8:CB12)</f>
        <v>18537.006690696333</v>
      </c>
      <c r="CC7" s="19">
        <f>+SUM(CC8:CC12)</f>
        <v>5338.555612637695</v>
      </c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8">
        <f>+SUM(CW8:CW12)</f>
        <v>10156.413123998773</v>
      </c>
      <c r="CX7" s="48">
        <f>+SUM(CX8:CX12)</f>
        <v>20151.486936644069</v>
      </c>
      <c r="CY7" s="48">
        <f>+SUM(CY8:CY12)</f>
        <v>10795.483955187094</v>
      </c>
      <c r="CZ7" s="48">
        <f>+SUM(CZ8:CZ12)</f>
        <v>13904.526550844163</v>
      </c>
      <c r="DA7" s="20">
        <f>+IF(CX7=0,,CW7/CX7*100)</f>
        <v>50.40031614505849</v>
      </c>
      <c r="DB7" s="20">
        <f>+IF(CZ7=0,,CY7/CZ7*100)</f>
        <v>77.640068618745488</v>
      </c>
      <c r="DC7" s="20">
        <f>+IF(CW7=0,,CY7/CW7*100)</f>
        <v>106.29228865925361</v>
      </c>
      <c r="DD7" s="20">
        <f>+IF(CX7=0,,CZ7/CX7*100)</f>
        <v>69.000002801578646</v>
      </c>
      <c r="DE7" s="20"/>
      <c r="DF7" s="20"/>
      <c r="DG7" s="48">
        <f>+SUM(DG8:DG12)</f>
        <v>18059.708394844165</v>
      </c>
      <c r="DH7" s="46"/>
      <c r="DI7" s="39"/>
      <c r="DJ7" s="80"/>
      <c r="DK7" s="39"/>
      <c r="DL7" s="39"/>
      <c r="DM7" s="181"/>
      <c r="DN7" s="39"/>
      <c r="DO7" s="39"/>
      <c r="DP7" s="39"/>
      <c r="DQ7" s="39"/>
      <c r="DR7" s="39"/>
      <c r="DS7" s="39"/>
      <c r="DT7" s="39"/>
      <c r="DU7" s="39"/>
      <c r="DV7" s="42">
        <f>+SUM(DV8:DV12)</f>
        <v>12630.658217491526</v>
      </c>
      <c r="DW7" s="42">
        <f>+SUM(DW8:DW12)</f>
        <v>16268.247515519999</v>
      </c>
      <c r="DX7" s="42">
        <f>+'[1]тарифы (НВВ) население на 4,2%'!CO9</f>
        <v>65.540453493093082</v>
      </c>
      <c r="DY7" s="42">
        <f>+IF(DW7=0,,DV7/DW7*100)</f>
        <v>77.639943733593967</v>
      </c>
      <c r="DZ7" s="46" t="e">
        <f>+#REF!*#REF!/1000</f>
        <v>#REF!</v>
      </c>
      <c r="EA7" s="46" t="e">
        <f>+#REF!*#REF!/1000</f>
        <v>#REF!</v>
      </c>
      <c r="EB7" s="46"/>
      <c r="EC7" s="22">
        <f>+SUM(EC8:EC12)</f>
        <v>3490.9528359050832</v>
      </c>
      <c r="ED7" s="42">
        <f>+SUM(ED8:ED12)</f>
        <v>3637.5892980284757</v>
      </c>
      <c r="EE7" s="39"/>
      <c r="EF7" s="39"/>
      <c r="EG7" s="22"/>
      <c r="EH7" s="39"/>
      <c r="EI7" s="39"/>
      <c r="EJ7" s="22"/>
      <c r="EK7" s="40"/>
      <c r="EL7" s="40"/>
      <c r="EM7" s="40"/>
      <c r="EN7" s="146">
        <f>+SUM(EN8:EN12)</f>
        <v>13077.727416101696</v>
      </c>
      <c r="EO7" s="146">
        <f>+SUM(EO8:EO12)</f>
        <v>18023.113923000001</v>
      </c>
      <c r="EP7" s="146" t="e">
        <f>+$EN$442/$EN$445*EN7</f>
        <v>#REF!</v>
      </c>
      <c r="EQ7" s="42">
        <f>+IF(EO7=0,,EN7/EO7*100)</f>
        <v>72.56086529760374</v>
      </c>
      <c r="ER7" s="42" t="e">
        <f>+IF((EN7+EP7)=0,,(EN7+EP7)/(EO7+EP7))*100</f>
        <v>#REF!</v>
      </c>
      <c r="ES7" s="42"/>
      <c r="ET7" s="42"/>
      <c r="EU7" s="42"/>
      <c r="EV7" s="42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41">
        <f>+SUM(FJ9:FJ12)</f>
        <v>3766.343801898307</v>
      </c>
      <c r="FK7" s="41">
        <f>+SUM(FK9:FK12)</f>
        <v>4945.386506898305</v>
      </c>
      <c r="FL7" s="41">
        <f>+SUM(FL9:FL12)</f>
        <v>8711.730308796612</v>
      </c>
      <c r="FM7" s="40"/>
      <c r="FN7" s="40"/>
      <c r="FO7" s="39">
        <f>+EF7</f>
        <v>0</v>
      </c>
      <c r="FP7" s="39"/>
      <c r="FQ7" s="22"/>
      <c r="FR7" s="39">
        <f>+EH7</f>
        <v>0</v>
      </c>
      <c r="FS7" s="39"/>
      <c r="FT7" s="22"/>
      <c r="FU7" s="40"/>
      <c r="FV7" s="41">
        <f t="shared" ref="FV7:GB7" si="3">+SUM(FV9:FV12)</f>
        <v>4310.2949477966104</v>
      </c>
      <c r="FW7" s="41">
        <f t="shared" si="3"/>
        <v>12088.424547796609</v>
      </c>
      <c r="FX7" s="41">
        <f t="shared" si="3"/>
        <v>225.96419999999989</v>
      </c>
      <c r="FY7" s="41">
        <f t="shared" si="3"/>
        <v>15004.063401694917</v>
      </c>
      <c r="FZ7" s="41">
        <f t="shared" si="3"/>
        <v>19302.348032000002</v>
      </c>
      <c r="GA7" s="41">
        <f t="shared" si="3"/>
        <v>22881.780732203388</v>
      </c>
      <c r="GB7" s="41">
        <f t="shared" si="3"/>
        <v>34970.205280000002</v>
      </c>
      <c r="GC7" s="20">
        <f>+IF(FZ7=0,,FY7/FZ7*100)</f>
        <v>77.731804321529879</v>
      </c>
      <c r="GD7" s="20">
        <f>+IF(GB7=0,,GA7/GB7*100)</f>
        <v>65.432217366164082</v>
      </c>
      <c r="GE7" s="42"/>
      <c r="GF7" s="42"/>
      <c r="GG7" s="42"/>
      <c r="GH7" s="42"/>
      <c r="GI7" s="42"/>
      <c r="GJ7" s="42"/>
      <c r="GK7" s="42"/>
      <c r="GL7" s="42"/>
      <c r="GM7" s="40"/>
      <c r="GN7" s="40"/>
      <c r="GO7" s="39"/>
      <c r="GP7" s="39"/>
      <c r="GQ7" s="22"/>
      <c r="GR7" s="39">
        <f>+EW7</f>
        <v>0</v>
      </c>
      <c r="GS7" s="39"/>
      <c r="GT7" s="22"/>
      <c r="GU7" s="43"/>
      <c r="GV7" s="41"/>
      <c r="GW7" s="41"/>
      <c r="GX7" s="41" t="e">
        <f>+SUM(GX8:GX12)</f>
        <v>#VALUE!</v>
      </c>
      <c r="GY7" s="41" t="e">
        <f>+SUM(GY8:GY12)</f>
        <v>#VALUE!</v>
      </c>
      <c r="GZ7" s="44" t="e">
        <f>+IF(GY7=0,,GX7/GY7*100)</f>
        <v>#VALUE!</v>
      </c>
      <c r="HA7" s="39"/>
      <c r="HB7" s="39"/>
      <c r="HC7" s="22"/>
      <c r="HD7" s="39">
        <f>+FC7</f>
        <v>0</v>
      </c>
      <c r="HE7" s="39"/>
      <c r="HF7" s="22"/>
      <c r="HG7" s="233"/>
    </row>
    <row r="8" spans="2:215" s="8" customFormat="1" ht="18" customHeight="1">
      <c r="B8" s="9" t="s">
        <v>136</v>
      </c>
      <c r="C8" s="81" t="s">
        <v>152</v>
      </c>
      <c r="D8" s="73">
        <f>+E8+I8</f>
        <v>0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50"/>
      <c r="W8" s="50"/>
      <c r="X8" s="50"/>
      <c r="Y8" s="50"/>
      <c r="Z8" s="50"/>
      <c r="AA8" s="50"/>
      <c r="AB8" s="50"/>
      <c r="AC8" s="50"/>
      <c r="AD8" s="50"/>
      <c r="AE8" s="182">
        <f>+IF(AC8=0,,AF8/AC8*100)</f>
        <v>0</v>
      </c>
      <c r="AF8" s="50"/>
      <c r="AG8" s="182"/>
      <c r="AH8" s="50"/>
      <c r="AI8" s="50"/>
      <c r="AJ8" s="50"/>
      <c r="AK8" s="50"/>
      <c r="AL8" s="50"/>
      <c r="AM8" s="50"/>
      <c r="AN8" s="50"/>
      <c r="AO8" s="39"/>
      <c r="AP8" s="39"/>
      <c r="AQ8" s="50"/>
      <c r="AR8" s="50"/>
      <c r="AS8" s="182">
        <f>+IF(AQ8=0,,AT8/AQ8*100)</f>
        <v>0</v>
      </c>
      <c r="AT8" s="50"/>
      <c r="AU8" s="182"/>
      <c r="AV8" s="77"/>
      <c r="AW8" s="77">
        <f>+CY8/$CY$7*100</f>
        <v>0</v>
      </c>
      <c r="AX8" s="78"/>
      <c r="AY8" s="50">
        <f t="shared" ref="AY8:AY30" si="4">+AZ8+BA8+BB8</f>
        <v>0</v>
      </c>
      <c r="AZ8" s="50"/>
      <c r="BA8" s="50"/>
      <c r="BB8" s="50"/>
      <c r="BC8" s="50"/>
      <c r="BD8" s="50"/>
      <c r="BE8" s="22">
        <f t="shared" si="1"/>
        <v>0</v>
      </c>
      <c r="BF8" s="50"/>
      <c r="BG8" s="50"/>
      <c r="BH8" s="22">
        <f t="shared" si="2"/>
        <v>0</v>
      </c>
      <c r="BI8" s="22"/>
      <c r="BJ8" s="40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39"/>
      <c r="CZ8" s="39"/>
      <c r="DA8" s="21">
        <f>+IF(CX8=0,,CW8/CX8*100)</f>
        <v>0</v>
      </c>
      <c r="DB8" s="21">
        <f>+IF(CZ8=0,,CY8/CZ8*100)</f>
        <v>0</v>
      </c>
      <c r="DC8" s="79">
        <f t="shared" ref="DC8:DD40" si="5">+IF(CW8=0,,CY8/CW8*100)</f>
        <v>0</v>
      </c>
      <c r="DD8" s="79">
        <f>+IF(CX8=0,,CZ8/CX8*100)</f>
        <v>0</v>
      </c>
      <c r="DE8" s="79"/>
      <c r="DF8" s="79"/>
      <c r="DG8" s="46"/>
      <c r="DH8" s="46"/>
      <c r="DI8" s="39"/>
      <c r="DJ8" s="80" t="s">
        <v>137</v>
      </c>
      <c r="DK8" s="39"/>
      <c r="DL8" s="39"/>
      <c r="DM8" s="181"/>
      <c r="DN8" s="39"/>
      <c r="DO8" s="39"/>
      <c r="DP8" s="39"/>
      <c r="DQ8" s="39"/>
      <c r="DR8" s="39"/>
      <c r="DS8" s="39"/>
      <c r="DT8" s="39"/>
      <c r="DU8" s="39"/>
      <c r="DV8" s="40">
        <f t="shared" ref="DV8:DV30" si="6">+(BG8*AZ8)/1.18</f>
        <v>0</v>
      </c>
      <c r="DW8" s="40">
        <f t="shared" ref="DW8:DW30" si="7">+BD8*AZ8</f>
        <v>0</v>
      </c>
      <c r="DX8" s="46"/>
      <c r="DY8" s="21">
        <f t="shared" ref="DY8:DY30" si="8">+IF(DW8=0,,DV8/DW8*100)</f>
        <v>0</v>
      </c>
      <c r="DZ8" s="19">
        <f t="shared" ref="DZ8:DZ30" si="9">+BC8*AY8/1000</f>
        <v>0</v>
      </c>
      <c r="EA8" s="19">
        <f t="shared" ref="EA8:EA30" si="10">+BD8*AY8/1000</f>
        <v>0</v>
      </c>
      <c r="EB8" s="19"/>
      <c r="EC8" s="48">
        <f t="shared" ref="EC8:EC10" si="11">+(BC8-BF8/1.18)*AZ8/2</f>
        <v>0</v>
      </c>
      <c r="ED8" s="48">
        <f t="shared" ref="ED8:ED10" si="12">+(BD8-BG8/1.18)*AZ8/2</f>
        <v>0</v>
      </c>
      <c r="EE8" s="50"/>
      <c r="EF8" s="50"/>
      <c r="EG8" s="22">
        <f t="shared" ref="EG8:EG30" si="13">+IF(EE8=0,,EF8/EE8*100)</f>
        <v>0</v>
      </c>
      <c r="EH8" s="50"/>
      <c r="EI8" s="50"/>
      <c r="EJ8" s="22">
        <f t="shared" ref="EJ8:EJ30" si="14">+IF(EH8=0,,EI8/EH8*100)</f>
        <v>0</v>
      </c>
      <c r="EK8" s="40"/>
      <c r="EL8" s="19"/>
      <c r="EM8" s="1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46"/>
      <c r="FK8" s="46"/>
      <c r="FL8" s="46"/>
      <c r="FM8" s="19"/>
      <c r="FN8" s="19"/>
      <c r="FO8" s="50">
        <f t="shared" ref="FO8:FO29" si="15">+EF8</f>
        <v>0</v>
      </c>
      <c r="FP8" s="50"/>
      <c r="FQ8" s="22"/>
      <c r="FR8" s="50">
        <f t="shared" ref="FR8" si="16">+EH8</f>
        <v>0</v>
      </c>
      <c r="FS8" s="50"/>
      <c r="FT8" s="22"/>
      <c r="FU8" s="40"/>
      <c r="FV8" s="39"/>
      <c r="FW8" s="39"/>
      <c r="FX8" s="19">
        <f t="shared" ref="FX8" si="17">+(FW8/2)-FV8/2</f>
        <v>0</v>
      </c>
      <c r="FY8" s="39"/>
      <c r="FZ8" s="39"/>
      <c r="GA8" s="39"/>
      <c r="GB8" s="39"/>
      <c r="GC8" s="51">
        <f t="shared" ref="GC8:GC29" si="18">+IF(FZ8=0,,FY8/FZ8*100)</f>
        <v>0</v>
      </c>
      <c r="GD8" s="51">
        <f t="shared" ref="GD8:GD29" si="19">+IF(GB8=0,,GA8/GB8*100)</f>
        <v>0</v>
      </c>
      <c r="GE8" s="39"/>
      <c r="GF8" s="39"/>
      <c r="GG8" s="39"/>
      <c r="GH8" s="39"/>
      <c r="GI8" s="39"/>
      <c r="GJ8" s="39"/>
      <c r="GK8" s="39"/>
      <c r="GL8" s="39"/>
      <c r="GM8" s="19"/>
      <c r="GN8" s="19"/>
      <c r="GO8" s="50"/>
      <c r="GP8" s="50"/>
      <c r="GQ8" s="22"/>
      <c r="GR8" s="50"/>
      <c r="GS8" s="50"/>
      <c r="GT8" s="22"/>
      <c r="GU8" s="43"/>
      <c r="GV8" s="39"/>
      <c r="GW8" s="39"/>
      <c r="GX8" s="39"/>
      <c r="GY8" s="39"/>
      <c r="GZ8" s="39"/>
      <c r="HA8" s="50"/>
      <c r="HB8" s="50"/>
      <c r="HC8" s="22"/>
      <c r="HD8" s="50"/>
      <c r="HE8" s="50"/>
      <c r="HF8" s="22"/>
      <c r="HG8" s="233"/>
    </row>
    <row r="9" spans="2:215" s="8" customFormat="1" ht="15.75">
      <c r="B9" s="10"/>
      <c r="C9" s="161" t="s">
        <v>138</v>
      </c>
      <c r="D9" s="73">
        <f>+E9+I9</f>
        <v>11161.880000000001</v>
      </c>
      <c r="E9" s="73">
        <f>+'[2]2012(объемы годовые)'!M7</f>
        <v>6170.11</v>
      </c>
      <c r="F9" s="75">
        <f>+'[2]уровень платежа граждан 11-12 г'!M11</f>
        <v>3409.6027859999999</v>
      </c>
      <c r="G9" s="75">
        <f>+'[2]уровень платежа граждан 11-12 г'!N11</f>
        <v>919.96340099999998</v>
      </c>
      <c r="H9" s="75">
        <f>+'[2]уровень платежа граждан 11-12 г'!O11</f>
        <v>1840.543813</v>
      </c>
      <c r="I9" s="73">
        <f>+'[2]2012(объемы годовые)'!Q7+'[2]2012(объемы годовые)'!U7+'[2]2012(объемы годовые)'!Y7</f>
        <v>4991.7700000000004</v>
      </c>
      <c r="J9" s="75">
        <f>+'[2]уровень платежа граждан 11-12 г'!Q11+'[2]уровень платежа граждан 11-12 г'!U11+'[2]уровень платежа граждан 11-12 г'!Y11</f>
        <v>2758.4521020000002</v>
      </c>
      <c r="K9" s="75">
        <f>+'[2]уровень платежа граждан 11-12 г'!R11+'[2]уровень платежа граждан 11-12 г'!V11+'[2]уровень платежа граждан 11-12 г'!Z11</f>
        <v>744.27290700000003</v>
      </c>
      <c r="L9" s="75">
        <f>+'[2]уровень платежа граждан 11-12 г'!S11+'[2]уровень платежа граждан 11-12 г'!W11+'[2]уровень платежа граждан 11-12 г'!AA11</f>
        <v>1489.044991</v>
      </c>
      <c r="M9" s="74">
        <f>+N9+R9</f>
        <v>14093.139544325784</v>
      </c>
      <c r="N9" s="74">
        <f>+O9+P9+Q9</f>
        <v>9461.6656552074419</v>
      </c>
      <c r="O9" s="74">
        <v>3951.4308328074408</v>
      </c>
      <c r="P9" s="74"/>
      <c r="Q9" s="74">
        <v>5510.2348224000007</v>
      </c>
      <c r="R9" s="74">
        <f>+S9+T9+U9</f>
        <v>4631.4738891183424</v>
      </c>
      <c r="S9" s="74">
        <v>2984.8138891183421</v>
      </c>
      <c r="T9" s="74"/>
      <c r="U9" s="74">
        <v>1646.6599999999999</v>
      </c>
      <c r="V9" s="52">
        <v>3135.67</v>
      </c>
      <c r="W9" s="52">
        <v>3135.67</v>
      </c>
      <c r="X9" s="52">
        <f>+IF(V9=0,,W9/V9*100)</f>
        <v>100</v>
      </c>
      <c r="Y9" s="52">
        <v>3320.67</v>
      </c>
      <c r="Z9" s="22">
        <f>+IF(W9=0,,Y9/W9*100)</f>
        <v>105.89985553326721</v>
      </c>
      <c r="AA9" s="52">
        <v>3480.06</v>
      </c>
      <c r="AB9" s="22">
        <f>+IF(Y9=0,,AA9/Y9*100)</f>
        <v>104.79993495288602</v>
      </c>
      <c r="AC9" s="52"/>
      <c r="AD9" s="52">
        <v>2523.4</v>
      </c>
      <c r="AE9" s="22">
        <f>+IF(AC9=0,,AF9/AC9*100)</f>
        <v>0</v>
      </c>
      <c r="AF9" s="22">
        <v>2523.4</v>
      </c>
      <c r="AG9" s="22">
        <f>+IF(AC9=0,,AF9/AC9*100)</f>
        <v>0</v>
      </c>
      <c r="AH9" s="52">
        <v>1864.86</v>
      </c>
      <c r="AI9" s="52">
        <v>1864.86</v>
      </c>
      <c r="AJ9" s="52">
        <f>+IF(AH9=0,,AI9/AH9*100)</f>
        <v>100</v>
      </c>
      <c r="AK9" s="52">
        <v>1974.88</v>
      </c>
      <c r="AL9" s="22">
        <f>+IF(AI9=0,,AK9/AI9*100)</f>
        <v>105.89963857876732</v>
      </c>
      <c r="AM9" s="52">
        <v>2069.67</v>
      </c>
      <c r="AN9" s="22">
        <f>+IF(AK9=0,,AM9/AK9*100)</f>
        <v>104.79978530341083</v>
      </c>
      <c r="AO9" s="22">
        <f>+IF(V9=0,,AA9/V9*100)</f>
        <v>110.9829797140643</v>
      </c>
      <c r="AP9" s="22">
        <f>+IF(AH9=0,,AM9/AH9*100)</f>
        <v>110.98259386763618</v>
      </c>
      <c r="AQ9" s="22"/>
      <c r="AR9" s="22">
        <v>2069.67</v>
      </c>
      <c r="AS9" s="22">
        <f>+IF(AQ9=0,,AT9/AQ9*100)</f>
        <v>0</v>
      </c>
      <c r="AT9" s="22">
        <v>2311.8200000000002</v>
      </c>
      <c r="AU9" s="22">
        <f>+IF(AQ9=0,,AT9/AQ9*100)</f>
        <v>0</v>
      </c>
      <c r="AV9" s="77"/>
      <c r="AW9" s="77">
        <f>+CY9/$CY$7*100</f>
        <v>100</v>
      </c>
      <c r="AX9" s="78" t="s">
        <v>139</v>
      </c>
      <c r="AY9" s="22">
        <f t="shared" si="4"/>
        <v>10.493905</v>
      </c>
      <c r="AZ9" s="22">
        <v>6.1871039999999997</v>
      </c>
      <c r="BA9" s="22">
        <v>3.9893009999999993</v>
      </c>
      <c r="BB9" s="22">
        <v>0.31749999999999995</v>
      </c>
      <c r="BC9" s="22">
        <v>2523.4</v>
      </c>
      <c r="BD9" s="22">
        <v>2629.38</v>
      </c>
      <c r="BE9" s="22">
        <f t="shared" si="1"/>
        <v>104.19988903859871</v>
      </c>
      <c r="BF9" s="22">
        <v>2311.8200000000002</v>
      </c>
      <c r="BG9" s="22">
        <v>2408.91</v>
      </c>
      <c r="BH9" s="22">
        <f t="shared" si="2"/>
        <v>104.19972143159933</v>
      </c>
      <c r="BI9" s="22">
        <f>+BD9-BG9/1.18</f>
        <v>587.93084745762735</v>
      </c>
      <c r="BJ9" s="40" t="s">
        <v>140</v>
      </c>
      <c r="BK9" s="19">
        <f>+BL9+BM9+BN9</f>
        <v>34999.971213818644</v>
      </c>
      <c r="BL9" s="19">
        <f>+E9*AI9/1.18/1000</f>
        <v>9751.1790971186419</v>
      </c>
      <c r="BM9" s="19">
        <f>+(W9-ROUND(AI9/1.18,2))*E9/1000</f>
        <v>9596.2486807999994</v>
      </c>
      <c r="BN9" s="19">
        <f>+W9*I9/1000</f>
        <v>15652.543435900001</v>
      </c>
      <c r="BO9" s="19">
        <f>+BP9+BQ9+BR9</f>
        <v>37064.902281316943</v>
      </c>
      <c r="BP9" s="19">
        <f>+AK9/1.18*E9/1000</f>
        <v>10326.463421016948</v>
      </c>
      <c r="BQ9" s="19">
        <f>+(Y9-ROUND(AK9/1.18,2))*E9/1000</f>
        <v>10162.417974399999</v>
      </c>
      <c r="BR9" s="19">
        <f>+Y9*I9/1000</f>
        <v>16576.020885900001</v>
      </c>
      <c r="BS9" s="19">
        <f>+BT9+BV9+BU9</f>
        <v>38843.997471861017</v>
      </c>
      <c r="BT9" s="19">
        <f>+AM9/1.18*E9/1000</f>
        <v>10822.111494661018</v>
      </c>
      <c r="BU9" s="19">
        <f>+(AA9-ROUND(AM9/1.18,2))*E9/1000</f>
        <v>10650.226870999999</v>
      </c>
      <c r="BV9" s="19">
        <f>+AA9*I9/1000</f>
        <v>17371.659106200001</v>
      </c>
      <c r="BW9" s="19">
        <f>+BX9+BY9+BZ9</f>
        <v>17781.302937370827</v>
      </c>
      <c r="BX9" s="19">
        <f>+((AQ9/1.18*N9/1000)+(AR9/1.18*N9/1000))/2</f>
        <v>8297.680320598809</v>
      </c>
      <c r="BY9" s="19">
        <f>+((AC9-ROUND(AQ9/1.18,2))*N9/1000+(AD9-ROUND(AR9/1.18,2))*N9/1000)/2</f>
        <v>3640.0920108714072</v>
      </c>
      <c r="BZ9" s="19">
        <f>+((AC9*R9/1000)+(R9*AD9/1000))/2</f>
        <v>5843.5306059006125</v>
      </c>
      <c r="CA9" s="19">
        <f>+CB9+CC9+CD9</f>
        <v>35562.623515135252</v>
      </c>
      <c r="CB9" s="19">
        <f>+AT9/1.18*N9/1000</f>
        <v>18537.006690696333</v>
      </c>
      <c r="CC9" s="19">
        <f>+(AF9-ROUND(AT9/1.18,2))*N9/1000</f>
        <v>5338.555612637695</v>
      </c>
      <c r="CD9" s="19">
        <f>+AF9*R9/1000</f>
        <v>11687.061211801225</v>
      </c>
      <c r="CE9" s="48">
        <f>+IF(R9=0,,BN9/R9*1000)</f>
        <v>3379.6030833026357</v>
      </c>
      <c r="CF9" s="48">
        <f>+IF(I9=0,,BR9/I9*1000)</f>
        <v>3320.6699999999996</v>
      </c>
      <c r="CG9" s="48">
        <f>+IF(I9=0,,BV9/I9*1000)</f>
        <v>3480.06</v>
      </c>
      <c r="CH9" s="48">
        <f>+IF(E9=0,,BL9/E9*1000*1.18)</f>
        <v>1864.8599999999994</v>
      </c>
      <c r="CI9" s="48">
        <f>+IF(E9=0,,BP9/E9*1.18*1000)</f>
        <v>1974.8799999999997</v>
      </c>
      <c r="CJ9" s="48">
        <f>+IF(E9=0,,BT9/E9*1.18*1000)</f>
        <v>2069.6700000000005</v>
      </c>
      <c r="CK9" s="48">
        <f>+IF(D9=0,,BK9/D9*1000)</f>
        <v>3135.6699063077758</v>
      </c>
      <c r="CL9" s="48">
        <f>+IF(D9=0,,BO9/D9*1000)</f>
        <v>3320.6684072321991</v>
      </c>
      <c r="CM9" s="48">
        <f>+IF(D9=0,,BS9/D9*1000)</f>
        <v>3480.0586883088704</v>
      </c>
      <c r="CN9" s="48">
        <f>+IF((D9+D9+D9)=0,,(BK9+BO9+BS9)/(D9+D9+D9))*1000</f>
        <v>3312.1323339496157</v>
      </c>
      <c r="CO9" s="48">
        <f>+IF(R9=0,,BZ9/R9*1000)</f>
        <v>1261.7</v>
      </c>
      <c r="CP9" s="48">
        <f>+IF(R9=0,,CD9/R9*1000)</f>
        <v>2523.4</v>
      </c>
      <c r="CQ9" s="48">
        <f>+IF(N9=0,,BX9/N9*1.18*1000)</f>
        <v>1034.8350000000003</v>
      </c>
      <c r="CR9" s="48">
        <f>+IF(N9=0,,CB9/N9*1.18*1000)</f>
        <v>2311.8200000000006</v>
      </c>
      <c r="CS9" s="48">
        <f>+IF(M9=0,,BW9/M9*1000)</f>
        <v>1261.6992034631473</v>
      </c>
      <c r="CT9" s="48">
        <f>+IF(M9=0,,CA9/M9*1000)</f>
        <v>2523.3996586270637</v>
      </c>
      <c r="CU9" s="48">
        <f>+IF((M9+M9)=0,,(CA9+BW9)/(M9+M9))*1000</f>
        <v>1892.5494310451054</v>
      </c>
      <c r="CV9" s="48">
        <f>+IF(CN9=0,,CU9/CN9*100)</f>
        <v>57.139909889660068</v>
      </c>
      <c r="CW9" s="19">
        <f>+((AI9*F9)/1.18+(G9*AK9)/1.18+(H9*AM9)/1.18)/1000</f>
        <v>10156.413123998773</v>
      </c>
      <c r="CX9" s="19">
        <f>+((W9*F9)+(Y9*G9)+(AA9*H9))/1000</f>
        <v>20151.486936644069</v>
      </c>
      <c r="CY9" s="19">
        <f>+((AQ9*O9)/1.18+(Q9*AT9)/1.18+(AR9*P9)/1.18)/1000</f>
        <v>10795.483955187094</v>
      </c>
      <c r="CZ9" s="19">
        <f>+((AC9*O9)+(AF9*Q9)+(AD9*P9))/1000</f>
        <v>13904.526550844163</v>
      </c>
      <c r="DA9" s="21">
        <f>+IF(CX9=0,,CW9/CX9*100)</f>
        <v>50.40031614505849</v>
      </c>
      <c r="DB9" s="21">
        <f>+IF(CZ9=0,,CY9/CZ9*100)</f>
        <v>77.640068618745488</v>
      </c>
      <c r="DC9" s="79">
        <f>+IF(CW9=0,,CY9/CW9*100)</f>
        <v>106.29228865925361</v>
      </c>
      <c r="DD9" s="79">
        <f>+IF(CX9=0,,CZ9/CX9*100)</f>
        <v>69.000002801578646</v>
      </c>
      <c r="DE9" s="79">
        <f>+(O9+S9)*AC9/1000</f>
        <v>0</v>
      </c>
      <c r="DF9" s="79">
        <f>+(P9+T9)*AD9/1000</f>
        <v>0</v>
      </c>
      <c r="DG9" s="79">
        <f>+AF9*(Q9+U9)/1000</f>
        <v>18059.708394844165</v>
      </c>
      <c r="DH9" s="51">
        <f>+DE9+DF9+DG9</f>
        <v>18059.708394844165</v>
      </c>
      <c r="DI9" s="79"/>
      <c r="DJ9" s="80">
        <f>+(F9+J9)*W9/1000</f>
        <v>19340.984670654965</v>
      </c>
      <c r="DK9" s="39">
        <f>+Y9*(G9+K9)/1000</f>
        <v>5526.3795808863606</v>
      </c>
      <c r="DL9" s="39">
        <f>+(H9+L9)*AA9/1000</f>
        <v>11587.16881324824</v>
      </c>
      <c r="DM9" s="48"/>
      <c r="DN9" s="39"/>
      <c r="DO9" s="39"/>
      <c r="DP9" s="39"/>
      <c r="DQ9" s="39"/>
      <c r="DR9" s="39"/>
      <c r="DS9" s="39"/>
      <c r="DT9" s="39">
        <f>+BD9*1.18</f>
        <v>3102.6684</v>
      </c>
      <c r="DU9" s="19">
        <f>+(BF9*AZ9)/1.18</f>
        <v>12121.585397694917</v>
      </c>
      <c r="DV9" s="40">
        <f t="shared" si="6"/>
        <v>12630.658217491526</v>
      </c>
      <c r="DW9" s="40">
        <f t="shared" si="7"/>
        <v>16268.247515519999</v>
      </c>
      <c r="DX9" s="21">
        <f>+'[1]тарифы (НВВ) население на 4,2%'!CO11</f>
        <v>64.095642789892864</v>
      </c>
      <c r="DY9" s="21">
        <f>+IF(DW9=0,,DV9/DW9*100)</f>
        <v>77.639943733593967</v>
      </c>
      <c r="DZ9" s="19">
        <f t="shared" si="9"/>
        <v>26.480319877000003</v>
      </c>
      <c r="EA9" s="19">
        <f t="shared" si="10"/>
        <v>27.592463928899999</v>
      </c>
      <c r="EB9" s="48">
        <v>1859.47</v>
      </c>
      <c r="EC9" s="48">
        <f>+(BC9-BF9/1.18)*AZ9</f>
        <v>3490.9528359050832</v>
      </c>
      <c r="ED9" s="48">
        <f>+(BD9-BG9/1.18)*AZ9</f>
        <v>3637.5892980284757</v>
      </c>
      <c r="EE9" s="22">
        <v>2629.38</v>
      </c>
      <c r="EF9" s="22">
        <v>2813.43</v>
      </c>
      <c r="EG9" s="22">
        <f t="shared" si="13"/>
        <v>106.99974899025624</v>
      </c>
      <c r="EH9" s="22">
        <v>2408.91</v>
      </c>
      <c r="EI9" s="22">
        <v>2408.91</v>
      </c>
      <c r="EJ9" s="22">
        <f t="shared" si="14"/>
        <v>100</v>
      </c>
      <c r="EK9" s="40" t="s">
        <v>141</v>
      </c>
      <c r="EL9" s="19">
        <v>10.39916</v>
      </c>
      <c r="EM9" s="19">
        <v>6.4061000000000003</v>
      </c>
      <c r="EN9" s="40">
        <f>+(EI9*EM9)/1.18</f>
        <v>13077.727416101696</v>
      </c>
      <c r="EO9" s="40">
        <f>+EF9*EM9</f>
        <v>18023.113923000001</v>
      </c>
      <c r="EP9" s="40"/>
      <c r="EQ9" s="21">
        <f>+IF(EO9=0,,EN9/EO9*100)</f>
        <v>72.56086529760374</v>
      </c>
      <c r="ER9" s="21"/>
      <c r="ES9" s="19">
        <f>+EL9*EE9</f>
        <v>27343.343320800002</v>
      </c>
      <c r="ET9" s="19"/>
      <c r="EU9" s="19">
        <f t="shared" ref="EU9:EU30" si="20">+EF9*EL9</f>
        <v>29257.308718799999</v>
      </c>
      <c r="EV9" s="21"/>
      <c r="EW9" s="39"/>
      <c r="EX9" s="39">
        <f t="shared" ref="EX9:EX20" si="21">+BD9*AY9</f>
        <v>27592.463928900001</v>
      </c>
      <c r="EY9" s="39">
        <f t="shared" ref="EY9:EY20" si="22">+EF9*AY9</f>
        <v>29523.867144149997</v>
      </c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19">
        <f>+(EE9-EH9/1.18)*EM9</f>
        <v>3766.343801898307</v>
      </c>
      <c r="FK9" s="19">
        <f>+(EF9-EI9/1.18)*EM9</f>
        <v>4945.386506898305</v>
      </c>
      <c r="FL9" s="19">
        <f>+FJ9+FK9</f>
        <v>8711.730308796612</v>
      </c>
      <c r="FM9" s="19">
        <v>10.44</v>
      </c>
      <c r="FN9" s="19">
        <v>6.4240000000000004</v>
      </c>
      <c r="FO9" s="22">
        <v>3013.12</v>
      </c>
      <c r="FP9" s="56">
        <v>3083.47</v>
      </c>
      <c r="FQ9" s="56">
        <f>+IF(FO9=0,,FP9/FO9*100)</f>
        <v>102.33478918861512</v>
      </c>
      <c r="FR9" s="56">
        <v>2763.74</v>
      </c>
      <c r="FS9" s="56">
        <v>2763.74</v>
      </c>
      <c r="FT9" s="22">
        <f>+IF(FR9=0,,FS9/FR9*100)</f>
        <v>100</v>
      </c>
      <c r="FU9" s="40" t="s">
        <v>624</v>
      </c>
      <c r="FV9" s="19">
        <f>+(FO9-FR9/1.18)*FN9</f>
        <v>4310.2949477966104</v>
      </c>
      <c r="FW9" s="19">
        <f>+(FP9-FS9/1.18)*FN9</f>
        <v>4762.2233477966101</v>
      </c>
      <c r="FX9" s="19">
        <f>+(FW9/2)-FV9/2</f>
        <v>225.96419999999989</v>
      </c>
      <c r="FY9" s="19">
        <f>+(FR9*EM9)/1.18</f>
        <v>15004.063401694917</v>
      </c>
      <c r="FZ9" s="19">
        <f>+FO9*EM9</f>
        <v>19302.348032000002</v>
      </c>
      <c r="GA9" s="19">
        <f>+(FS9*FN9)/1.18</f>
        <v>15045.987932203388</v>
      </c>
      <c r="GB9" s="19">
        <f>+FP9*FN9</f>
        <v>19808.21128</v>
      </c>
      <c r="GC9" s="20">
        <f>+IF(FZ9=0,,FY9/FZ9*100)</f>
        <v>77.731804321529879</v>
      </c>
      <c r="GD9" s="20">
        <f t="shared" si="19"/>
        <v>75.958337274981801</v>
      </c>
      <c r="GE9" s="19">
        <f>+FO9*FM9</f>
        <v>31456.972799999996</v>
      </c>
      <c r="GF9" s="19">
        <f>+FR9*FN9</f>
        <v>17754.265759999998</v>
      </c>
      <c r="GG9" s="19"/>
      <c r="GH9" s="19"/>
      <c r="GI9" s="19">
        <f>+FP9*FM9</f>
        <v>32191.426799999997</v>
      </c>
      <c r="GJ9" s="19">
        <f>+FS9*FN9</f>
        <v>17754.265759999998</v>
      </c>
      <c r="GK9" s="19"/>
      <c r="GL9" s="19"/>
      <c r="GM9" s="19">
        <f>+FM9</f>
        <v>10.44</v>
      </c>
      <c r="GN9" s="19">
        <f>+FN9</f>
        <v>6.4240000000000004</v>
      </c>
      <c r="GO9" s="22">
        <v>3083.47</v>
      </c>
      <c r="GP9" s="22">
        <v>3217.34</v>
      </c>
      <c r="GQ9" s="56"/>
      <c r="GR9" s="56">
        <v>2763.74</v>
      </c>
      <c r="GS9" s="56">
        <v>2868.76</v>
      </c>
      <c r="GT9" s="22">
        <f>+IF(GR9=0,,GS9/GR9*100)</f>
        <v>103.79992329235024</v>
      </c>
      <c r="GU9" s="40" t="s">
        <v>624</v>
      </c>
      <c r="GV9" s="19">
        <f>+(GO9-GR9/1.18)*GN9</f>
        <v>4762.2233477966101</v>
      </c>
      <c r="GW9" s="19">
        <f>+(GP9-GS9/1.18)*GN9</f>
        <v>5050.4682277966094</v>
      </c>
      <c r="GX9" s="19">
        <f>+GS9/1.18*GN9</f>
        <v>15617.723932203393</v>
      </c>
      <c r="GY9" s="19">
        <f t="shared" ref="GY9:GY12" si="23">+GP9*GN9</f>
        <v>20668.192160000002</v>
      </c>
      <c r="GZ9" s="23">
        <f>+IF(GY9=0,,GX9/GY9*100)</f>
        <v>75.564054230292157</v>
      </c>
      <c r="HA9" s="22">
        <f>+GP9</f>
        <v>3217.34</v>
      </c>
      <c r="HB9" s="56">
        <v>3305.42</v>
      </c>
      <c r="HC9" s="56"/>
      <c r="HD9" s="56">
        <v>2868.76</v>
      </c>
      <c r="HE9" s="56">
        <v>2983.51</v>
      </c>
      <c r="HF9" s="22">
        <f>+IF(HD9=0,,HE9/HD9*100)</f>
        <v>103.9999860566935</v>
      </c>
      <c r="HG9" s="236" t="s">
        <v>624</v>
      </c>
    </row>
    <row r="10" spans="2:215" ht="15.75">
      <c r="B10" s="10" t="s">
        <v>146</v>
      </c>
      <c r="C10" s="183" t="s">
        <v>147</v>
      </c>
      <c r="D10" s="73">
        <f>+E10+I10</f>
        <v>0</v>
      </c>
      <c r="E10" s="46"/>
      <c r="F10" s="46"/>
      <c r="G10" s="46"/>
      <c r="H10" s="46"/>
      <c r="I10" s="46"/>
      <c r="J10" s="46"/>
      <c r="K10" s="46"/>
      <c r="L10" s="46"/>
      <c r="M10" s="76">
        <f t="shared" ref="M10" si="24">+N10+R10</f>
        <v>0</v>
      </c>
      <c r="N10" s="76">
        <f>+E10</f>
        <v>0</v>
      </c>
      <c r="O10" s="76"/>
      <c r="P10" s="76"/>
      <c r="Q10" s="76"/>
      <c r="R10" s="76">
        <f>+I10</f>
        <v>0</v>
      </c>
      <c r="S10" s="76"/>
      <c r="T10" s="76"/>
      <c r="U10" s="76"/>
      <c r="V10" s="52"/>
      <c r="W10" s="52"/>
      <c r="X10" s="52">
        <f t="shared" ref="X10:X15" si="25">+IF(V10=0,,W10/V10*100)</f>
        <v>0</v>
      </c>
      <c r="Y10" s="52"/>
      <c r="Z10" s="22">
        <f t="shared" ref="Z10:Z15" si="26">+IF(W10=0,,Y10/W10*100)</f>
        <v>0</v>
      </c>
      <c r="AA10" s="52"/>
      <c r="AB10" s="22">
        <f t="shared" ref="AB10:AB15" si="27">+IF(Y10=0,,AA10/Y10*100)</f>
        <v>0</v>
      </c>
      <c r="AC10" s="22"/>
      <c r="AD10" s="22"/>
      <c r="AE10" s="22">
        <f t="shared" ref="AE10:AE15" si="28">+IF(AC10=0,,AF10/AC10*100)</f>
        <v>0</v>
      </c>
      <c r="AF10" s="22"/>
      <c r="AG10" s="22">
        <f t="shared" ref="AG10:AG16" si="29">+IF(AC10=0,,AF10/AC10*100)</f>
        <v>0</v>
      </c>
      <c r="AH10" s="22"/>
      <c r="AI10" s="22"/>
      <c r="AJ10" s="52">
        <f t="shared" ref="AJ10:AJ15" si="30">+IF(AH10=0,,AI10/AH10*100)</f>
        <v>0</v>
      </c>
      <c r="AK10" s="52"/>
      <c r="AL10" s="22">
        <f t="shared" ref="AL10:AL15" si="31">+IF(AI10=0,,AK10/AI10*100)</f>
        <v>0</v>
      </c>
      <c r="AM10" s="52"/>
      <c r="AN10" s="22">
        <f t="shared" ref="AN10:AN15" si="32">+IF(AK10=0,,AM10/AK10*100)</f>
        <v>0</v>
      </c>
      <c r="AO10" s="22">
        <f t="shared" ref="AO10:AO15" si="33">+IF(V10=0,,AA10/V10*100)</f>
        <v>0</v>
      </c>
      <c r="AP10" s="22">
        <f t="shared" ref="AP10:AP15" si="34">+IF(AH10=0,,AM10/AH10*100)</f>
        <v>0</v>
      </c>
      <c r="AQ10" s="22"/>
      <c r="AR10" s="22"/>
      <c r="AS10" s="22">
        <f t="shared" ref="AS10:AS15" si="35">+IF(AQ10=0,,AT10/AQ10*100)</f>
        <v>0</v>
      </c>
      <c r="AT10" s="22"/>
      <c r="AU10" s="22">
        <f t="shared" ref="AU10:AU15" si="36">+IF(AQ10=0,,AT10/AQ10*100)</f>
        <v>0</v>
      </c>
      <c r="AV10" s="77"/>
      <c r="AW10" s="77">
        <f t="shared" ref="AW10" si="37">+CY10/$CY$7*100</f>
        <v>0</v>
      </c>
      <c r="AX10" s="78"/>
      <c r="AY10" s="22">
        <f t="shared" si="4"/>
        <v>0</v>
      </c>
      <c r="AZ10" s="22"/>
      <c r="BA10" s="22"/>
      <c r="BB10" s="22"/>
      <c r="BC10" s="22"/>
      <c r="BD10" s="22"/>
      <c r="BE10" s="22">
        <f t="shared" si="1"/>
        <v>0</v>
      </c>
      <c r="BF10" s="22"/>
      <c r="BG10" s="22"/>
      <c r="BH10" s="22">
        <f t="shared" si="2"/>
        <v>0</v>
      </c>
      <c r="BI10" s="22"/>
      <c r="BJ10" s="40"/>
      <c r="BK10" s="19">
        <f t="shared" ref="BK10:BK49" si="38">+BL10+BM10+BN10</f>
        <v>0</v>
      </c>
      <c r="BL10" s="19">
        <f t="shared" ref="BL10:BL15" si="39">+E10*AI10/1.18/1000</f>
        <v>0</v>
      </c>
      <c r="BM10" s="19">
        <f t="shared" ref="BM10:BM15" si="40">+(W10-ROUND(AI10/1.18,2))*E10/1000</f>
        <v>0</v>
      </c>
      <c r="BN10" s="19">
        <f t="shared" ref="BN10:BN15" si="41">+W10*I10/1000</f>
        <v>0</v>
      </c>
      <c r="BO10" s="19">
        <f t="shared" ref="BO10:BO49" si="42">+BP10+BQ10+BR10</f>
        <v>0</v>
      </c>
      <c r="BP10" s="19">
        <f t="shared" ref="BP10:BP15" si="43">+AK10/1.18*E10/1000</f>
        <v>0</v>
      </c>
      <c r="BQ10" s="19">
        <f t="shared" ref="BQ10:BQ15" si="44">+(Y10-ROUND(AK10/1.18,2))*E10/1000</f>
        <v>0</v>
      </c>
      <c r="BR10" s="19">
        <f t="shared" ref="BR10:BR15" si="45">+Y10*I10/1000</f>
        <v>0</v>
      </c>
      <c r="BS10" s="19">
        <f t="shared" ref="BS10:BS49" si="46">+BT10+BV10+BU10</f>
        <v>0</v>
      </c>
      <c r="BT10" s="19">
        <f t="shared" ref="BT10:BT15" si="47">+AM10/1.18*E10/1000</f>
        <v>0</v>
      </c>
      <c r="BU10" s="19">
        <f t="shared" ref="BU10:BU15" si="48">+(AA10-ROUND(AM10/1.18,2))*E10/1000</f>
        <v>0</v>
      </c>
      <c r="BV10" s="19">
        <f t="shared" ref="BV10:BV15" si="49">+AA10*I10/1000</f>
        <v>0</v>
      </c>
      <c r="BW10" s="19">
        <f t="shared" ref="BW10" si="50">+BX10+BY10+BZ10</f>
        <v>0</v>
      </c>
      <c r="BX10" s="19">
        <f t="shared" ref="BX10" si="51">+((AQ10/1.18*N10/1000)+(AR10/1.18*N10/1000))/2</f>
        <v>0</v>
      </c>
      <c r="BY10" s="19">
        <f t="shared" ref="BY10" si="52">+((AC10-ROUND(AQ10/1.18,2))*N10/1000+(AD10-ROUND(AR10/1.18,2))*N10/1000)/2</f>
        <v>0</v>
      </c>
      <c r="BZ10" s="19">
        <f t="shared" ref="BZ10" si="53">+((AC10*R10/1000)+(R10*AD10/1000))/2</f>
        <v>0</v>
      </c>
      <c r="CA10" s="19">
        <f t="shared" ref="CA10:CA30" si="54">+CB10+CC10+CD10</f>
        <v>0</v>
      </c>
      <c r="CB10" s="19">
        <f t="shared" ref="CB10" si="55">+AT10/1.18*N10/1000</f>
        <v>0</v>
      </c>
      <c r="CC10" s="19">
        <f t="shared" ref="CC10" si="56">+(AF10-ROUND(AT10/1.18,2))*N10/1000</f>
        <v>0</v>
      </c>
      <c r="CD10" s="19">
        <f t="shared" ref="CD10:CD15" si="57">+AF10*R10/1000</f>
        <v>0</v>
      </c>
      <c r="CE10" s="48">
        <f t="shared" ref="CE10:CE15" si="58">+IF(R10=0,,BN10/R10*1000)</f>
        <v>0</v>
      </c>
      <c r="CF10" s="48">
        <f t="shared" ref="CF10:CF15" si="59">+IF(I10=0,,BR10/I10*1000)</f>
        <v>0</v>
      </c>
      <c r="CG10" s="48">
        <f t="shared" ref="CG10:CG15" si="60">+IF(I10=0,,BV10/I10*1000)</f>
        <v>0</v>
      </c>
      <c r="CH10" s="48">
        <f t="shared" ref="CH10:CH15" si="61">+IF(E10=0,,BL10/E10*1000*1.18)</f>
        <v>0</v>
      </c>
      <c r="CI10" s="48">
        <f t="shared" ref="CI10:CI15" si="62">+IF(E10=0,,BP10/E10*1.18*1000)</f>
        <v>0</v>
      </c>
      <c r="CJ10" s="48">
        <f t="shared" ref="CJ10:CJ15" si="63">+IF(E10=0,,BT10/E10*1.18*1000)</f>
        <v>0</v>
      </c>
      <c r="CK10" s="48">
        <f t="shared" ref="CK10:CK15" si="64">+IF(D10=0,,BK10/D10*1000)</f>
        <v>0</v>
      </c>
      <c r="CL10" s="48">
        <f t="shared" ref="CL10:CL15" si="65">+IF(D10=0,,BO10/D10*1000)</f>
        <v>0</v>
      </c>
      <c r="CM10" s="48">
        <f t="shared" ref="CM10:CM15" si="66">+IF(D10=0,,BS10/D10*1000)</f>
        <v>0</v>
      </c>
      <c r="CN10" s="48">
        <f t="shared" ref="CN10:CN15" si="67">+IF((D10+D10+D10)=0,,(BK10+BO10+BS10)/(D10+D10+D10))*1000</f>
        <v>0</v>
      </c>
      <c r="CO10" s="48">
        <f t="shared" ref="CO10:CO15" si="68">+IF(R10=0,,BZ10/R10*1000)</f>
        <v>0</v>
      </c>
      <c r="CP10" s="48">
        <f t="shared" ref="CP10:CP15" si="69">+IF(R10=0,,CD10/R10*1000)</f>
        <v>0</v>
      </c>
      <c r="CQ10" s="48">
        <f t="shared" ref="CQ10:CQ15" si="70">+IF(N10=0,,BX10/N10*1.18*1000)</f>
        <v>0</v>
      </c>
      <c r="CR10" s="48">
        <f t="shared" ref="CR10:CR15" si="71">+IF(N10=0,,CB10/N10*1.18*1000)</f>
        <v>0</v>
      </c>
      <c r="CS10" s="48">
        <f t="shared" ref="CS10:CS15" si="72">+IF(M10=0,,BW10/M10*1000)</f>
        <v>0</v>
      </c>
      <c r="CT10" s="48">
        <f t="shared" ref="CT10:CT15" si="73">+IF(M10=0,,CA10/M10*1000)</f>
        <v>0</v>
      </c>
      <c r="CU10" s="48">
        <f t="shared" ref="CU10:CU15" si="74">+IF((M10+M10)=0,,(CA10+BW10)/(M10+M10))*1000</f>
        <v>0</v>
      </c>
      <c r="CV10" s="48">
        <f t="shared" ref="CV10:CV40" si="75">+IF(CN10=0,,CU10/CN10*100)</f>
        <v>0</v>
      </c>
      <c r="CW10" s="19">
        <f t="shared" ref="CW10" si="76">+((AI10*F10)/1.18+(G10*AK10)/1.18+(H10*AM10)/1.18)/1000</f>
        <v>0</v>
      </c>
      <c r="CX10" s="19">
        <f t="shared" ref="CX10" si="77">+((W10*F10)+(Y10*G10)+(AA10*H10))/1000</f>
        <v>0</v>
      </c>
      <c r="CY10" s="19">
        <f t="shared" ref="CY10" si="78">+((AQ10*O10)/1.18+(Q10*AT10)/1.18+(AR10*P10)/1.18)/1000</f>
        <v>0</v>
      </c>
      <c r="CZ10" s="19">
        <f t="shared" ref="CZ10" si="79">+((AC10*O10)+(AF10*Q10)+(AD10*P10))/1000</f>
        <v>0</v>
      </c>
      <c r="DA10" s="21">
        <f t="shared" ref="DA10:DA40" si="80">+IF(CX10=0,,CW10/CX10*100)</f>
        <v>0</v>
      </c>
      <c r="DB10" s="21">
        <f t="shared" ref="DB10:DB40" si="81">+IF(CZ10=0,,CY10/CZ10*100)</f>
        <v>0</v>
      </c>
      <c r="DC10" s="79">
        <f t="shared" ref="DC10:DD10" si="82">+IF(CW10=0,,CY10/CW10*100)</f>
        <v>0</v>
      </c>
      <c r="DD10" s="79">
        <f t="shared" si="82"/>
        <v>0</v>
      </c>
      <c r="DE10" s="79">
        <f t="shared" ref="DE10:DF15" si="83">+(O10+S10)*AC10/1000</f>
        <v>0</v>
      </c>
      <c r="DF10" s="79">
        <f t="shared" si="83"/>
        <v>0</v>
      </c>
      <c r="DG10" s="79">
        <f t="shared" ref="DG10" si="84">+AF10*(Q10+U10)/1000</f>
        <v>0</v>
      </c>
      <c r="DH10" s="51">
        <f t="shared" ref="DH10:DH40" si="85">+DE10+DF10+DG10</f>
        <v>0</v>
      </c>
      <c r="DI10" s="39"/>
      <c r="DJ10" s="80">
        <f t="shared" ref="DJ10:DJ15" si="86">+(F10+J10)*W10/1000</f>
        <v>0</v>
      </c>
      <c r="DK10" s="39">
        <f t="shared" ref="DK10:DK15" si="87">+Y10*(G10+K10)/1000</f>
        <v>0</v>
      </c>
      <c r="DL10" s="39">
        <f t="shared" ref="DL10:DL15" si="88">+(H10+L10)*AA10/1000</f>
        <v>0</v>
      </c>
      <c r="DM10" s="48">
        <f>+AT10-'[2]тарифы (12-13) население 15%'!AP17</f>
        <v>0</v>
      </c>
      <c r="DN10" s="39"/>
      <c r="DO10" s="39"/>
      <c r="DP10" s="39"/>
      <c r="DQ10" s="39"/>
      <c r="DR10" s="39"/>
      <c r="DS10" s="39"/>
      <c r="DT10" s="39"/>
      <c r="DU10" s="19">
        <f t="shared" ref="DU10:DU30" si="89">+(BF10*AZ10)/1.18</f>
        <v>0</v>
      </c>
      <c r="DV10" s="40">
        <f t="shared" si="6"/>
        <v>0</v>
      </c>
      <c r="DW10" s="40">
        <f t="shared" si="7"/>
        <v>0</v>
      </c>
      <c r="DX10" s="46"/>
      <c r="DY10" s="21">
        <f t="shared" si="8"/>
        <v>0</v>
      </c>
      <c r="DZ10" s="19">
        <f t="shared" si="9"/>
        <v>0</v>
      </c>
      <c r="EA10" s="19">
        <f t="shared" si="10"/>
        <v>0</v>
      </c>
      <c r="EB10" s="19"/>
      <c r="EC10" s="48">
        <f t="shared" si="11"/>
        <v>0</v>
      </c>
      <c r="ED10" s="48">
        <f t="shared" si="12"/>
        <v>0</v>
      </c>
      <c r="EE10" s="22"/>
      <c r="EF10" s="22"/>
      <c r="EG10" s="22">
        <f t="shared" si="13"/>
        <v>0</v>
      </c>
      <c r="EH10" s="22"/>
      <c r="EI10" s="22"/>
      <c r="EJ10" s="22">
        <f t="shared" si="14"/>
        <v>0</v>
      </c>
      <c r="EK10" s="40"/>
      <c r="EL10" s="19"/>
      <c r="EM10" s="19"/>
      <c r="EN10" s="40">
        <f t="shared" ref="EN10:EN30" si="90">+(EI10*EM10)/1.18</f>
        <v>0</v>
      </c>
      <c r="EO10" s="40">
        <f t="shared" ref="EO10:EO30" si="91">+EF10*EM10</f>
        <v>0</v>
      </c>
      <c r="EP10" s="40"/>
      <c r="EQ10" s="21">
        <f t="shared" ref="EQ10:EQ30" si="92">+IF(EO10=0,,EN10/EO10*100)</f>
        <v>0</v>
      </c>
      <c r="ER10" s="21"/>
      <c r="ES10" s="19">
        <f t="shared" ref="ES10" si="93">+EL10*EE10</f>
        <v>0</v>
      </c>
      <c r="ET10" s="19"/>
      <c r="EU10" s="19">
        <f t="shared" si="20"/>
        <v>0</v>
      </c>
      <c r="EV10" s="21"/>
      <c r="EW10" s="39"/>
      <c r="EX10" s="39">
        <f t="shared" si="21"/>
        <v>0</v>
      </c>
      <c r="EY10" s="39">
        <f t="shared" si="22"/>
        <v>0</v>
      </c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19">
        <f t="shared" ref="FJ10:FJ29" si="94">+(EE10-EH10/1.18)*EM10</f>
        <v>0</v>
      </c>
      <c r="FK10" s="19">
        <f t="shared" ref="FK10:FK29" si="95">+(EF10-EI10/1.18)*EM10</f>
        <v>0</v>
      </c>
      <c r="FL10" s="19">
        <f t="shared" ref="FL10:FL30" si="96">+FJ10+FK10</f>
        <v>0</v>
      </c>
      <c r="FM10" s="19"/>
      <c r="FN10" s="19"/>
      <c r="FO10" s="57">
        <f t="shared" si="15"/>
        <v>0</v>
      </c>
      <c r="FP10" s="57"/>
      <c r="FQ10" s="57">
        <f t="shared" ref="FQ10:FQ14" si="97">+IF(FO10=0,,FP10/FO10*100)</f>
        <v>0</v>
      </c>
      <c r="FR10" s="57">
        <f t="shared" ref="FR10:FR29" si="98">+EI10</f>
        <v>0</v>
      </c>
      <c r="FS10" s="57"/>
      <c r="FT10" s="57">
        <f t="shared" ref="FT10:FT14" si="99">+IF(FR10=0,,FS10/FR10*100)</f>
        <v>0</v>
      </c>
      <c r="FU10" s="40"/>
      <c r="FV10" s="19">
        <f t="shared" ref="FV10" si="100">+(FO10-FR10/1.18)*FN10</f>
        <v>0</v>
      </c>
      <c r="FW10" s="19">
        <f t="shared" ref="FW10:FW12" si="101">+(FP10-FS10)*FN10</f>
        <v>0</v>
      </c>
      <c r="FX10" s="58">
        <f t="shared" ref="FX10:FX29" si="102">+(FW10/2)-FV10/2</f>
        <v>0</v>
      </c>
      <c r="FY10" s="58">
        <f t="shared" ref="FY10:FY16" si="103">+(FR10*EM10)/1.18</f>
        <v>0</v>
      </c>
      <c r="FZ10" s="58">
        <f t="shared" ref="FZ10:FZ16" si="104">+FO10*EM10</f>
        <v>0</v>
      </c>
      <c r="GA10" s="19">
        <f t="shared" ref="GA10:GA29" si="105">+(FS10*EM10)/1.18</f>
        <v>0</v>
      </c>
      <c r="GB10" s="19">
        <f t="shared" ref="GB10:GB29" si="106">+FP10*EM10</f>
        <v>0</v>
      </c>
      <c r="GC10" s="20">
        <f t="shared" si="18"/>
        <v>0</v>
      </c>
      <c r="GD10" s="20">
        <f t="shared" si="19"/>
        <v>0</v>
      </c>
      <c r="GE10" s="19">
        <f t="shared" ref="GE10" si="107">+FO10*FM10</f>
        <v>0</v>
      </c>
      <c r="GF10" s="19">
        <f t="shared" ref="GF10" si="108">+FR10*FN10</f>
        <v>0</v>
      </c>
      <c r="GG10" s="19"/>
      <c r="GH10" s="19"/>
      <c r="GI10" s="19">
        <f t="shared" ref="GI10" si="109">+FP10*FM10</f>
        <v>0</v>
      </c>
      <c r="GJ10" s="19">
        <f t="shared" ref="GJ10" si="110">+FS10*FN10</f>
        <v>0</v>
      </c>
      <c r="GK10" s="19"/>
      <c r="GL10" s="19"/>
      <c r="GM10" s="19"/>
      <c r="GN10" s="19"/>
      <c r="GO10" s="57"/>
      <c r="GP10" s="57"/>
      <c r="GQ10" s="57">
        <f t="shared" ref="GQ10" si="111">+IF(GO10=0,,GP10/GO10*100)</f>
        <v>0</v>
      </c>
      <c r="GR10" s="57"/>
      <c r="GS10" s="57"/>
      <c r="GT10" s="57">
        <f t="shared" ref="GT10" si="112">+IF(GR10=0,,GS10/GR10*100)</f>
        <v>0</v>
      </c>
      <c r="GU10" s="43"/>
      <c r="GV10" s="19"/>
      <c r="GW10" s="19"/>
      <c r="GX10" s="19">
        <f t="shared" ref="GX10" si="113">+GS10/1.18*GN10</f>
        <v>0</v>
      </c>
      <c r="GY10" s="19">
        <f t="shared" si="23"/>
        <v>0</v>
      </c>
      <c r="GZ10" s="23">
        <f t="shared" ref="GZ10:GZ12" si="114">+IF(GY10=0,,GX10/GY10*100)</f>
        <v>0</v>
      </c>
      <c r="HA10" s="57"/>
      <c r="HB10" s="57"/>
      <c r="HC10" s="57">
        <f t="shared" ref="HC10" si="115">+IF(HA10=0,,HB10/HA10*100)</f>
        <v>0</v>
      </c>
      <c r="HD10" s="57"/>
      <c r="HE10" s="57"/>
      <c r="HF10" s="57">
        <f t="shared" ref="HF10:HF12" si="116">+IF(HD10=0,,HE10/HD10*100)</f>
        <v>0</v>
      </c>
      <c r="HG10" s="233"/>
    </row>
    <row r="11" spans="2:215" ht="15.75">
      <c r="B11" s="10"/>
      <c r="C11" s="184" t="s">
        <v>142</v>
      </c>
      <c r="D11" s="73"/>
      <c r="E11" s="46"/>
      <c r="F11" s="74"/>
      <c r="G11" s="74"/>
      <c r="H11" s="74"/>
      <c r="I11" s="46"/>
      <c r="J11" s="75"/>
      <c r="K11" s="75"/>
      <c r="L11" s="75"/>
      <c r="M11" s="76"/>
      <c r="N11" s="76"/>
      <c r="O11" s="76"/>
      <c r="P11" s="76"/>
      <c r="Q11" s="76"/>
      <c r="R11" s="76"/>
      <c r="S11" s="74"/>
      <c r="T11" s="74"/>
      <c r="U11" s="74"/>
      <c r="V11" s="52"/>
      <c r="W11" s="52"/>
      <c r="X11" s="52"/>
      <c r="Y11" s="52"/>
      <c r="Z11" s="22"/>
      <c r="AA11" s="52"/>
      <c r="AB11" s="22"/>
      <c r="AC11" s="52"/>
      <c r="AD11" s="52"/>
      <c r="AE11" s="22"/>
      <c r="AF11" s="22"/>
      <c r="AG11" s="22"/>
      <c r="AH11" s="22"/>
      <c r="AI11" s="22"/>
      <c r="AJ11" s="52"/>
      <c r="AK11" s="52"/>
      <c r="AL11" s="22"/>
      <c r="AM11" s="52"/>
      <c r="AN11" s="22"/>
      <c r="AO11" s="22"/>
      <c r="AP11" s="22"/>
      <c r="AQ11" s="22"/>
      <c r="AR11" s="22"/>
      <c r="AS11" s="22"/>
      <c r="AT11" s="22"/>
      <c r="AU11" s="22"/>
      <c r="AV11" s="77"/>
      <c r="AW11" s="77"/>
      <c r="AX11" s="78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40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19"/>
      <c r="CX11" s="19"/>
      <c r="CY11" s="19"/>
      <c r="CZ11" s="19"/>
      <c r="DA11" s="21"/>
      <c r="DB11" s="21"/>
      <c r="DC11" s="79"/>
      <c r="DD11" s="79"/>
      <c r="DE11" s="79"/>
      <c r="DF11" s="79"/>
      <c r="DG11" s="79"/>
      <c r="DH11" s="51"/>
      <c r="DI11" s="39"/>
      <c r="DJ11" s="80"/>
      <c r="DK11" s="39"/>
      <c r="DL11" s="39"/>
      <c r="DM11" s="48"/>
      <c r="DN11" s="81"/>
      <c r="DO11" s="39"/>
      <c r="DP11" s="39"/>
      <c r="DQ11" s="39"/>
      <c r="DR11" s="39"/>
      <c r="DS11" s="39"/>
      <c r="DT11" s="39"/>
      <c r="DU11" s="19"/>
      <c r="DV11" s="40"/>
      <c r="DW11" s="40"/>
      <c r="DX11" s="46"/>
      <c r="DY11" s="21"/>
      <c r="DZ11" s="19"/>
      <c r="EA11" s="19"/>
      <c r="EB11" s="19"/>
      <c r="EC11" s="48"/>
      <c r="ED11" s="48"/>
      <c r="EE11" s="22"/>
      <c r="EF11" s="22"/>
      <c r="EG11" s="22"/>
      <c r="EH11" s="22"/>
      <c r="EI11" s="22"/>
      <c r="EJ11" s="22"/>
      <c r="EK11" s="40"/>
      <c r="EL11" s="19"/>
      <c r="EM11" s="19"/>
      <c r="EN11" s="40"/>
      <c r="EO11" s="40"/>
      <c r="EP11" s="40"/>
      <c r="EQ11" s="21"/>
      <c r="ER11" s="21"/>
      <c r="ES11" s="19"/>
      <c r="ET11" s="19"/>
      <c r="EU11" s="19"/>
      <c r="EV11" s="21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  <c r="FI11" s="39"/>
      <c r="FJ11" s="19"/>
      <c r="FK11" s="19"/>
      <c r="FL11" s="19"/>
      <c r="FM11" s="19">
        <v>104.33</v>
      </c>
      <c r="FN11" s="19">
        <v>91.3</v>
      </c>
      <c r="FO11" s="57">
        <v>89.94</v>
      </c>
      <c r="FP11" s="57">
        <v>92.1</v>
      </c>
      <c r="FQ11" s="57"/>
      <c r="FR11" s="57">
        <v>46.86</v>
      </c>
      <c r="FS11" s="57">
        <v>47.8</v>
      </c>
      <c r="FT11" s="57">
        <f t="shared" si="99"/>
        <v>102.00597524541186</v>
      </c>
      <c r="FU11" s="242" t="s">
        <v>630</v>
      </c>
      <c r="FV11" s="19"/>
      <c r="FW11" s="19">
        <f t="shared" si="101"/>
        <v>4044.5899999999997</v>
      </c>
      <c r="FX11" s="58"/>
      <c r="FY11" s="58">
        <f>+(FR11*EM11)</f>
        <v>0</v>
      </c>
      <c r="FZ11" s="58">
        <f t="shared" si="104"/>
        <v>0</v>
      </c>
      <c r="GA11" s="19">
        <f>+(FS11*FN11)</f>
        <v>4364.1399999999994</v>
      </c>
      <c r="GB11" s="19">
        <f>+FP11*FN11</f>
        <v>8408.73</v>
      </c>
      <c r="GC11" s="20">
        <f t="shared" si="18"/>
        <v>0</v>
      </c>
      <c r="GD11" s="20">
        <f t="shared" si="19"/>
        <v>51.900108577633006</v>
      </c>
      <c r="GE11" s="19"/>
      <c r="GF11" s="19"/>
      <c r="GG11" s="19"/>
      <c r="GH11" s="19"/>
      <c r="GI11" s="19"/>
      <c r="GJ11" s="19"/>
      <c r="GK11" s="19"/>
      <c r="GL11" s="19"/>
      <c r="GM11" s="19">
        <v>104.325</v>
      </c>
      <c r="GN11" s="19">
        <v>91.3</v>
      </c>
      <c r="GO11" s="57" t="s">
        <v>633</v>
      </c>
      <c r="GP11" s="57" t="s">
        <v>633</v>
      </c>
      <c r="GQ11" s="57"/>
      <c r="GR11" s="57" t="s">
        <v>633</v>
      </c>
      <c r="GS11" s="57" t="s">
        <v>633</v>
      </c>
      <c r="GT11" s="57" t="e">
        <f>+IF(GR11=0,,GS11/GR11*100)</f>
        <v>#VALUE!</v>
      </c>
      <c r="GU11" s="241" t="s">
        <v>633</v>
      </c>
      <c r="GV11" s="19" t="e">
        <f>+(GO11-GR11)*GN11</f>
        <v>#VALUE!</v>
      </c>
      <c r="GW11" s="19" t="e">
        <f>+(GP11-GS11)*GN11</f>
        <v>#VALUE!</v>
      </c>
      <c r="GX11" s="19" t="e">
        <f>+GS11*GN11</f>
        <v>#VALUE!</v>
      </c>
      <c r="GY11" s="19" t="e">
        <f t="shared" si="23"/>
        <v>#VALUE!</v>
      </c>
      <c r="GZ11" s="23" t="e">
        <f t="shared" si="114"/>
        <v>#VALUE!</v>
      </c>
      <c r="HA11" s="57" t="s">
        <v>633</v>
      </c>
      <c r="HB11" s="57" t="s">
        <v>633</v>
      </c>
      <c r="HC11" s="57"/>
      <c r="HD11" s="57" t="s">
        <v>633</v>
      </c>
      <c r="HE11" s="57" t="s">
        <v>633</v>
      </c>
      <c r="HF11" s="57" t="e">
        <f t="shared" si="116"/>
        <v>#VALUE!</v>
      </c>
      <c r="HG11" s="241" t="s">
        <v>633</v>
      </c>
    </row>
    <row r="12" spans="2:215" ht="15.75">
      <c r="B12" s="10"/>
      <c r="C12" s="184" t="s">
        <v>143</v>
      </c>
      <c r="D12" s="73"/>
      <c r="E12" s="46"/>
      <c r="F12" s="74"/>
      <c r="G12" s="74"/>
      <c r="H12" s="74"/>
      <c r="I12" s="46"/>
      <c r="J12" s="75"/>
      <c r="K12" s="75"/>
      <c r="L12" s="75"/>
      <c r="M12" s="76"/>
      <c r="N12" s="76"/>
      <c r="O12" s="76"/>
      <c r="P12" s="76"/>
      <c r="Q12" s="76"/>
      <c r="R12" s="76"/>
      <c r="S12" s="74"/>
      <c r="T12" s="74"/>
      <c r="U12" s="74"/>
      <c r="V12" s="52"/>
      <c r="W12" s="52"/>
      <c r="X12" s="52"/>
      <c r="Y12" s="52"/>
      <c r="Z12" s="22"/>
      <c r="AA12" s="52"/>
      <c r="AB12" s="22"/>
      <c r="AC12" s="52"/>
      <c r="AD12" s="52"/>
      <c r="AE12" s="22"/>
      <c r="AF12" s="22"/>
      <c r="AG12" s="22"/>
      <c r="AH12" s="22"/>
      <c r="AI12" s="22"/>
      <c r="AJ12" s="52"/>
      <c r="AK12" s="52"/>
      <c r="AL12" s="22"/>
      <c r="AM12" s="52"/>
      <c r="AN12" s="22"/>
      <c r="AO12" s="22"/>
      <c r="AP12" s="22"/>
      <c r="AQ12" s="22"/>
      <c r="AR12" s="22"/>
      <c r="AS12" s="22"/>
      <c r="AT12" s="22"/>
      <c r="AU12" s="22"/>
      <c r="AV12" s="77"/>
      <c r="AW12" s="77"/>
      <c r="AX12" s="78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40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19"/>
      <c r="CX12" s="19"/>
      <c r="CY12" s="19"/>
      <c r="CZ12" s="19"/>
      <c r="DA12" s="21"/>
      <c r="DB12" s="21"/>
      <c r="DC12" s="79"/>
      <c r="DD12" s="79"/>
      <c r="DE12" s="79"/>
      <c r="DF12" s="79"/>
      <c r="DG12" s="79"/>
      <c r="DH12" s="51"/>
      <c r="DI12" s="39"/>
      <c r="DJ12" s="80"/>
      <c r="DK12" s="39"/>
      <c r="DL12" s="39"/>
      <c r="DM12" s="48"/>
      <c r="DN12" s="81"/>
      <c r="DO12" s="39"/>
      <c r="DP12" s="39"/>
      <c r="DQ12" s="39"/>
      <c r="DR12" s="39"/>
      <c r="DS12" s="39"/>
      <c r="DT12" s="39"/>
      <c r="DU12" s="19"/>
      <c r="DV12" s="40"/>
      <c r="DW12" s="40"/>
      <c r="DX12" s="46"/>
      <c r="DY12" s="21"/>
      <c r="DZ12" s="19"/>
      <c r="EA12" s="19"/>
      <c r="EB12" s="19"/>
      <c r="EC12" s="48"/>
      <c r="ED12" s="48"/>
      <c r="EE12" s="22"/>
      <c r="EF12" s="22"/>
      <c r="EG12" s="22"/>
      <c r="EH12" s="22"/>
      <c r="EI12" s="22"/>
      <c r="EJ12" s="22"/>
      <c r="EK12" s="40"/>
      <c r="EL12" s="19"/>
      <c r="EM12" s="19"/>
      <c r="EN12" s="40"/>
      <c r="EO12" s="40"/>
      <c r="EP12" s="40"/>
      <c r="EQ12" s="21"/>
      <c r="ER12" s="21"/>
      <c r="ES12" s="19"/>
      <c r="ET12" s="19"/>
      <c r="EU12" s="19"/>
      <c r="EV12" s="21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19"/>
      <c r="FK12" s="19"/>
      <c r="FL12" s="19"/>
      <c r="FM12" s="19">
        <v>49.104999999999997</v>
      </c>
      <c r="FN12" s="19">
        <v>42.42</v>
      </c>
      <c r="FO12" s="57">
        <v>155.36000000000001</v>
      </c>
      <c r="FP12" s="57">
        <v>159.19999999999999</v>
      </c>
      <c r="FQ12" s="57">
        <f t="shared" si="97"/>
        <v>102.47167868177137</v>
      </c>
      <c r="FR12" s="57">
        <v>80.239999999999995</v>
      </c>
      <c r="FS12" s="57">
        <v>81.84</v>
      </c>
      <c r="FT12" s="57"/>
      <c r="FU12" s="242"/>
      <c r="FV12" s="19"/>
      <c r="FW12" s="19">
        <f t="shared" si="101"/>
        <v>3281.6111999999994</v>
      </c>
      <c r="FX12" s="58"/>
      <c r="FY12" s="58">
        <f>+(FR12*EM12)</f>
        <v>0</v>
      </c>
      <c r="FZ12" s="58">
        <f t="shared" si="104"/>
        <v>0</v>
      </c>
      <c r="GA12" s="19">
        <f>+(FS12*FN12)</f>
        <v>3471.6528000000003</v>
      </c>
      <c r="GB12" s="19">
        <f>+FP12*FN12</f>
        <v>6753.2640000000001</v>
      </c>
      <c r="GC12" s="20">
        <f t="shared" si="18"/>
        <v>0</v>
      </c>
      <c r="GD12" s="20">
        <f t="shared" si="19"/>
        <v>51.4070351758794</v>
      </c>
      <c r="GE12" s="19"/>
      <c r="GF12" s="19"/>
      <c r="GG12" s="19"/>
      <c r="GH12" s="19"/>
      <c r="GI12" s="19"/>
      <c r="GJ12" s="19"/>
      <c r="GK12" s="19"/>
      <c r="GL12" s="19"/>
      <c r="GM12" s="19">
        <v>49.104999999999997</v>
      </c>
      <c r="GN12" s="19">
        <v>42.423999999999999</v>
      </c>
      <c r="GO12" s="57" t="s">
        <v>633</v>
      </c>
      <c r="GP12" s="57" t="s">
        <v>633</v>
      </c>
      <c r="GQ12" s="57"/>
      <c r="GR12" s="57" t="s">
        <v>633</v>
      </c>
      <c r="GS12" s="57" t="s">
        <v>633</v>
      </c>
      <c r="GT12" s="57" t="e">
        <f>+IF(GR12=0,,GS12/GR12*100)</f>
        <v>#VALUE!</v>
      </c>
      <c r="GU12" s="240"/>
      <c r="GV12" s="19" t="e">
        <f>+(GO12-GR12)*GN12</f>
        <v>#VALUE!</v>
      </c>
      <c r="GW12" s="19" t="e">
        <f>+(GP12-GS12)*GN12</f>
        <v>#VALUE!</v>
      </c>
      <c r="GX12" s="19" t="e">
        <f>+GS12*GN12</f>
        <v>#VALUE!</v>
      </c>
      <c r="GY12" s="19" t="e">
        <f t="shared" si="23"/>
        <v>#VALUE!</v>
      </c>
      <c r="GZ12" s="23" t="e">
        <f t="shared" si="114"/>
        <v>#VALUE!</v>
      </c>
      <c r="HA12" s="57" t="s">
        <v>633</v>
      </c>
      <c r="HB12" s="57" t="s">
        <v>633</v>
      </c>
      <c r="HC12" s="57"/>
      <c r="HD12" s="57" t="s">
        <v>633</v>
      </c>
      <c r="HE12" s="57" t="s">
        <v>633</v>
      </c>
      <c r="HF12" s="57" t="e">
        <f t="shared" si="116"/>
        <v>#VALUE!</v>
      </c>
      <c r="HG12" s="240"/>
    </row>
    <row r="13" spans="2:215" ht="15.75">
      <c r="B13" s="15"/>
      <c r="C13" s="183" t="s">
        <v>634</v>
      </c>
      <c r="D13" s="73"/>
      <c r="E13" s="46"/>
      <c r="F13" s="74"/>
      <c r="G13" s="74"/>
      <c r="H13" s="74"/>
      <c r="I13" s="46"/>
      <c r="J13" s="75"/>
      <c r="K13" s="75"/>
      <c r="L13" s="75"/>
      <c r="M13" s="76"/>
      <c r="N13" s="76"/>
      <c r="O13" s="76"/>
      <c r="P13" s="76"/>
      <c r="Q13" s="76"/>
      <c r="R13" s="76"/>
      <c r="S13" s="74"/>
      <c r="T13" s="74"/>
      <c r="U13" s="74"/>
      <c r="V13" s="52"/>
      <c r="W13" s="52"/>
      <c r="X13" s="52"/>
      <c r="Y13" s="52"/>
      <c r="Z13" s="22"/>
      <c r="AA13" s="52"/>
      <c r="AB13" s="22"/>
      <c r="AC13" s="52"/>
      <c r="AD13" s="52"/>
      <c r="AE13" s="22"/>
      <c r="AF13" s="22"/>
      <c r="AG13" s="22"/>
      <c r="AH13" s="22"/>
      <c r="AI13" s="22"/>
      <c r="AJ13" s="52"/>
      <c r="AK13" s="52"/>
      <c r="AL13" s="22"/>
      <c r="AM13" s="52"/>
      <c r="AN13" s="22"/>
      <c r="AO13" s="22"/>
      <c r="AP13" s="22"/>
      <c r="AQ13" s="22"/>
      <c r="AR13" s="22"/>
      <c r="AS13" s="22"/>
      <c r="AT13" s="22"/>
      <c r="AU13" s="22"/>
      <c r="AV13" s="77"/>
      <c r="AW13" s="77"/>
      <c r="AX13" s="78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40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19"/>
      <c r="CX13" s="19"/>
      <c r="CY13" s="19"/>
      <c r="CZ13" s="19"/>
      <c r="DA13" s="21"/>
      <c r="DB13" s="21"/>
      <c r="DC13" s="79"/>
      <c r="DD13" s="79"/>
      <c r="DE13" s="79"/>
      <c r="DF13" s="79"/>
      <c r="DG13" s="79"/>
      <c r="DH13" s="51"/>
      <c r="DI13" s="39"/>
      <c r="DJ13" s="80"/>
      <c r="DK13" s="39"/>
      <c r="DL13" s="39"/>
      <c r="DM13" s="48"/>
      <c r="DN13" s="81"/>
      <c r="DO13" s="39"/>
      <c r="DP13" s="39"/>
      <c r="DQ13" s="39"/>
      <c r="DR13" s="39"/>
      <c r="DS13" s="39"/>
      <c r="DT13" s="39"/>
      <c r="DU13" s="19"/>
      <c r="DV13" s="40"/>
      <c r="DW13" s="40"/>
      <c r="DX13" s="46"/>
      <c r="DY13" s="21"/>
      <c r="DZ13" s="19"/>
      <c r="EA13" s="19"/>
      <c r="EB13" s="19"/>
      <c r="EC13" s="48"/>
      <c r="ED13" s="48"/>
      <c r="EE13" s="22"/>
      <c r="EF13" s="22"/>
      <c r="EG13" s="22"/>
      <c r="EH13" s="22"/>
      <c r="EI13" s="22"/>
      <c r="EJ13" s="22"/>
      <c r="EK13" s="40"/>
      <c r="EL13" s="19"/>
      <c r="EM13" s="19"/>
      <c r="EN13" s="40"/>
      <c r="EO13" s="40"/>
      <c r="EP13" s="40"/>
      <c r="EQ13" s="21"/>
      <c r="ER13" s="21"/>
      <c r="ES13" s="19"/>
      <c r="ET13" s="19"/>
      <c r="EU13" s="19"/>
      <c r="EV13" s="21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19"/>
      <c r="FK13" s="19"/>
      <c r="FL13" s="19"/>
      <c r="FM13" s="19"/>
      <c r="FN13" s="19"/>
      <c r="FO13" s="57"/>
      <c r="FP13" s="57"/>
      <c r="FQ13" s="57"/>
      <c r="FR13" s="57"/>
      <c r="FS13" s="57"/>
      <c r="FT13" s="57"/>
      <c r="FU13" s="40"/>
      <c r="FV13" s="19"/>
      <c r="FW13" s="19"/>
      <c r="FX13" s="58"/>
      <c r="FY13" s="58"/>
      <c r="FZ13" s="58"/>
      <c r="GA13" s="19"/>
      <c r="GB13" s="19"/>
      <c r="GC13" s="20"/>
      <c r="GD13" s="20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57"/>
      <c r="GP13" s="57"/>
      <c r="GQ13" s="57"/>
      <c r="GR13" s="57"/>
      <c r="GS13" s="57"/>
      <c r="GT13" s="57"/>
      <c r="GU13" s="43"/>
      <c r="GV13" s="19"/>
      <c r="GW13" s="19"/>
      <c r="GX13" s="19"/>
      <c r="GY13" s="19"/>
      <c r="GZ13" s="23"/>
      <c r="HA13" s="57"/>
      <c r="HB13" s="57"/>
      <c r="HC13" s="57"/>
      <c r="HD13" s="57"/>
      <c r="HE13" s="57"/>
      <c r="HF13" s="57"/>
      <c r="HG13" s="233"/>
    </row>
    <row r="14" spans="2:215" ht="17.45" customHeight="1" thickBot="1">
      <c r="B14" s="15"/>
      <c r="C14" s="184" t="s">
        <v>635</v>
      </c>
      <c r="D14" s="82"/>
      <c r="E14" s="46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22"/>
      <c r="W14" s="22"/>
      <c r="X14" s="5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5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77"/>
      <c r="AW14" s="77"/>
      <c r="AX14" s="78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40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19"/>
      <c r="CX14" s="19"/>
      <c r="CY14" s="19"/>
      <c r="CZ14" s="19"/>
      <c r="DA14" s="21"/>
      <c r="DB14" s="21"/>
      <c r="DC14" s="79"/>
      <c r="DD14" s="79"/>
      <c r="DE14" s="79"/>
      <c r="DF14" s="79"/>
      <c r="DG14" s="79"/>
      <c r="DH14" s="51"/>
      <c r="DI14" s="39"/>
      <c r="DJ14" s="80"/>
      <c r="DK14" s="39"/>
      <c r="DL14" s="39"/>
      <c r="DM14" s="48"/>
      <c r="DN14" s="39"/>
      <c r="DO14" s="39"/>
      <c r="DP14" s="39"/>
      <c r="DQ14" s="39"/>
      <c r="DR14" s="39"/>
      <c r="DS14" s="39"/>
      <c r="DT14" s="39"/>
      <c r="DU14" s="19"/>
      <c r="DV14" s="40"/>
      <c r="DW14" s="40"/>
      <c r="DX14" s="46"/>
      <c r="DY14" s="21"/>
      <c r="DZ14" s="19"/>
      <c r="EA14" s="19"/>
      <c r="EB14" s="19"/>
      <c r="EC14" s="48"/>
      <c r="ED14" s="48"/>
      <c r="EE14" s="22"/>
      <c r="EF14" s="22"/>
      <c r="EG14" s="22"/>
      <c r="EH14" s="22"/>
      <c r="EI14" s="22"/>
      <c r="EJ14" s="22"/>
      <c r="EK14" s="83"/>
      <c r="EL14" s="19"/>
      <c r="EM14" s="19"/>
      <c r="EN14" s="40"/>
      <c r="EO14" s="40"/>
      <c r="EP14" s="40"/>
      <c r="EQ14" s="21"/>
      <c r="ER14" s="21"/>
      <c r="ES14" s="19"/>
      <c r="ET14" s="19"/>
      <c r="EU14" s="19"/>
      <c r="EV14" s="21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19"/>
      <c r="FK14" s="19"/>
      <c r="FL14" s="19"/>
      <c r="FM14" s="19"/>
      <c r="FN14" s="19"/>
      <c r="FO14" s="57">
        <v>326.68</v>
      </c>
      <c r="FP14" s="57">
        <v>365.9</v>
      </c>
      <c r="FQ14" s="57">
        <f t="shared" si="97"/>
        <v>112.00563242316639</v>
      </c>
      <c r="FR14" s="57">
        <v>392.02</v>
      </c>
      <c r="FS14" s="57">
        <v>439.08</v>
      </c>
      <c r="FT14" s="57">
        <f t="shared" si="99"/>
        <v>112.00448956685885</v>
      </c>
      <c r="FU14" s="83" t="s">
        <v>625</v>
      </c>
      <c r="FV14" s="19"/>
      <c r="FW14" s="19"/>
      <c r="FX14" s="58"/>
      <c r="FY14" s="58"/>
      <c r="FZ14" s="58"/>
      <c r="GA14" s="19"/>
      <c r="GB14" s="19"/>
      <c r="GC14" s="20"/>
      <c r="GD14" s="20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57">
        <v>365.9</v>
      </c>
      <c r="GP14" s="57">
        <v>622.91</v>
      </c>
      <c r="GQ14" s="57"/>
      <c r="GR14" s="57">
        <v>439.08</v>
      </c>
      <c r="GS14" s="57">
        <v>747.49</v>
      </c>
      <c r="GT14" s="57"/>
      <c r="GU14" s="83" t="s">
        <v>625</v>
      </c>
      <c r="GV14" s="19"/>
      <c r="GW14" s="19"/>
      <c r="GX14" s="19"/>
      <c r="GY14" s="19"/>
      <c r="GZ14" s="23"/>
      <c r="HA14" s="57">
        <v>622.91</v>
      </c>
      <c r="HB14" s="57">
        <v>460</v>
      </c>
      <c r="HC14" s="57"/>
      <c r="HD14" s="57">
        <v>747.49</v>
      </c>
      <c r="HE14" s="57">
        <v>552</v>
      </c>
      <c r="HF14" s="57"/>
      <c r="HG14" s="235" t="s">
        <v>625</v>
      </c>
    </row>
    <row r="15" spans="2:215" ht="16.5" thickBot="1">
      <c r="B15" s="7">
        <v>2</v>
      </c>
      <c r="C15" s="80" t="s">
        <v>149</v>
      </c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>
        <f t="shared" si="25"/>
        <v>0</v>
      </c>
      <c r="Y15" s="80"/>
      <c r="Z15" s="80">
        <f t="shared" si="26"/>
        <v>0</v>
      </c>
      <c r="AA15" s="80"/>
      <c r="AB15" s="80">
        <f t="shared" si="27"/>
        <v>0</v>
      </c>
      <c r="AC15" s="80"/>
      <c r="AD15" s="80"/>
      <c r="AE15" s="80">
        <f t="shared" si="28"/>
        <v>0</v>
      </c>
      <c r="AF15" s="80"/>
      <c r="AG15" s="80">
        <f t="shared" si="29"/>
        <v>0</v>
      </c>
      <c r="AH15" s="80"/>
      <c r="AI15" s="80"/>
      <c r="AJ15" s="80">
        <f t="shared" si="30"/>
        <v>0</v>
      </c>
      <c r="AK15" s="80"/>
      <c r="AL15" s="80">
        <f t="shared" si="31"/>
        <v>0</v>
      </c>
      <c r="AM15" s="80"/>
      <c r="AN15" s="80">
        <f t="shared" si="32"/>
        <v>0</v>
      </c>
      <c r="AO15" s="80">
        <f t="shared" si="33"/>
        <v>0</v>
      </c>
      <c r="AP15" s="80">
        <f t="shared" si="34"/>
        <v>0</v>
      </c>
      <c r="AQ15" s="80"/>
      <c r="AR15" s="80"/>
      <c r="AS15" s="80">
        <f t="shared" si="35"/>
        <v>0</v>
      </c>
      <c r="AT15" s="80"/>
      <c r="AU15" s="80">
        <f t="shared" si="36"/>
        <v>0</v>
      </c>
      <c r="AV15" s="77"/>
      <c r="AW15" s="77">
        <f>+CY15/$CY$15*100</f>
        <v>100</v>
      </c>
      <c r="AX15" s="78"/>
      <c r="AY15" s="80">
        <f t="shared" si="4"/>
        <v>0</v>
      </c>
      <c r="AZ15" s="80"/>
      <c r="BA15" s="80"/>
      <c r="BB15" s="80"/>
      <c r="BC15" s="80"/>
      <c r="BD15" s="80"/>
      <c r="BE15" s="22">
        <f t="shared" si="1"/>
        <v>0</v>
      </c>
      <c r="BF15" s="80"/>
      <c r="BG15" s="80"/>
      <c r="BH15" s="22">
        <f t="shared" si="2"/>
        <v>0</v>
      </c>
      <c r="BI15" s="22"/>
      <c r="BJ15" s="40"/>
      <c r="BK15" s="80">
        <f t="shared" si="38"/>
        <v>0</v>
      </c>
      <c r="BL15" s="80">
        <f t="shared" si="39"/>
        <v>0</v>
      </c>
      <c r="BM15" s="80">
        <f t="shared" si="40"/>
        <v>0</v>
      </c>
      <c r="BN15" s="80">
        <f t="shared" si="41"/>
        <v>0</v>
      </c>
      <c r="BO15" s="80">
        <f t="shared" si="42"/>
        <v>0</v>
      </c>
      <c r="BP15" s="80">
        <f t="shared" si="43"/>
        <v>0</v>
      </c>
      <c r="BQ15" s="80">
        <f t="shared" si="44"/>
        <v>0</v>
      </c>
      <c r="BR15" s="80">
        <f t="shared" si="45"/>
        <v>0</v>
      </c>
      <c r="BS15" s="80">
        <f t="shared" si="46"/>
        <v>0</v>
      </c>
      <c r="BT15" s="80">
        <f t="shared" si="47"/>
        <v>0</v>
      </c>
      <c r="BU15" s="80">
        <f t="shared" si="48"/>
        <v>0</v>
      </c>
      <c r="BV15" s="80">
        <f t="shared" si="49"/>
        <v>0</v>
      </c>
      <c r="BW15" s="80"/>
      <c r="BX15" s="48">
        <f>+SUM(BX16:BX37)</f>
        <v>38822.1428220339</v>
      </c>
      <c r="BY15" s="48">
        <f>+SUM(BY16:BY37)</f>
        <v>0</v>
      </c>
      <c r="BZ15" s="80">
        <f>+AC15*R15/1000</f>
        <v>0</v>
      </c>
      <c r="CA15" s="80"/>
      <c r="CB15" s="48">
        <f>+SUM(CB16:CB37)</f>
        <v>43360.763881355939</v>
      </c>
      <c r="CC15" s="48">
        <f>+SUM(CC16:CC37)</f>
        <v>0</v>
      </c>
      <c r="CD15" s="80">
        <f t="shared" si="57"/>
        <v>0</v>
      </c>
      <c r="CE15" s="80">
        <f t="shared" si="58"/>
        <v>0</v>
      </c>
      <c r="CF15" s="80">
        <f t="shared" si="59"/>
        <v>0</v>
      </c>
      <c r="CG15" s="80">
        <f t="shared" si="60"/>
        <v>0</v>
      </c>
      <c r="CH15" s="80">
        <f t="shared" si="61"/>
        <v>0</v>
      </c>
      <c r="CI15" s="80">
        <f t="shared" si="62"/>
        <v>0</v>
      </c>
      <c r="CJ15" s="80">
        <f t="shared" si="63"/>
        <v>0</v>
      </c>
      <c r="CK15" s="80">
        <f t="shared" si="64"/>
        <v>0</v>
      </c>
      <c r="CL15" s="80">
        <f t="shared" si="65"/>
        <v>0</v>
      </c>
      <c r="CM15" s="80">
        <f t="shared" si="66"/>
        <v>0</v>
      </c>
      <c r="CN15" s="80">
        <f t="shared" si="67"/>
        <v>0</v>
      </c>
      <c r="CO15" s="80">
        <f t="shared" si="68"/>
        <v>0</v>
      </c>
      <c r="CP15" s="80">
        <f t="shared" si="69"/>
        <v>0</v>
      </c>
      <c r="CQ15" s="80">
        <f t="shared" si="70"/>
        <v>0</v>
      </c>
      <c r="CR15" s="80">
        <f t="shared" si="71"/>
        <v>0</v>
      </c>
      <c r="CS15" s="80">
        <f t="shared" si="72"/>
        <v>0</v>
      </c>
      <c r="CT15" s="80">
        <f t="shared" si="73"/>
        <v>0</v>
      </c>
      <c r="CU15" s="80">
        <f t="shared" si="74"/>
        <v>0</v>
      </c>
      <c r="CV15" s="80">
        <f t="shared" si="75"/>
        <v>0</v>
      </c>
      <c r="CW15" s="48">
        <f>+SUM(CW16:CW37)</f>
        <v>36434.048738398298</v>
      </c>
      <c r="CX15" s="48">
        <f>+SUM(CX16:CX37)</f>
        <v>36433.970508862993</v>
      </c>
      <c r="CY15" s="48">
        <f>+SUM(CY16:CY37)</f>
        <v>40684.792904779664</v>
      </c>
      <c r="CZ15" s="48">
        <f>+SUM(CZ16:CZ37)</f>
        <v>40684.765914272</v>
      </c>
      <c r="DA15" s="20">
        <f t="shared" si="80"/>
        <v>100.0002147159209</v>
      </c>
      <c r="DB15" s="20">
        <f t="shared" si="81"/>
        <v>100.00006634057506</v>
      </c>
      <c r="DC15" s="20">
        <f t="shared" si="5"/>
        <v>111.66695526182752</v>
      </c>
      <c r="DD15" s="20">
        <f t="shared" si="5"/>
        <v>111.6671209479487</v>
      </c>
      <c r="DE15" s="79">
        <f t="shared" si="83"/>
        <v>0</v>
      </c>
      <c r="DF15" s="79">
        <f t="shared" si="83"/>
        <v>0</v>
      </c>
      <c r="DG15" s="48">
        <f>+SUM(DG16:DG37)</f>
        <v>39531.528162143994</v>
      </c>
      <c r="DH15" s="51">
        <f t="shared" si="85"/>
        <v>39531.528162143994</v>
      </c>
      <c r="DI15" s="39"/>
      <c r="DJ15" s="80">
        <f t="shared" si="86"/>
        <v>0</v>
      </c>
      <c r="DK15" s="39">
        <f t="shared" si="87"/>
        <v>0</v>
      </c>
      <c r="DL15" s="39">
        <f t="shared" si="88"/>
        <v>0</v>
      </c>
      <c r="DM15" s="48">
        <f>+AT15-'[2]тарифы (12-13) население 15%'!AP23</f>
        <v>0</v>
      </c>
      <c r="DN15" s="39"/>
      <c r="DO15" s="39"/>
      <c r="DP15" s="39"/>
      <c r="DQ15" s="39"/>
      <c r="DR15" s="39"/>
      <c r="DS15" s="39"/>
      <c r="DT15" s="39"/>
      <c r="DU15" s="19">
        <f t="shared" si="89"/>
        <v>0</v>
      </c>
      <c r="DV15" s="42">
        <f>+SUM(DV16:DV37)</f>
        <v>401578.98034378071</v>
      </c>
      <c r="DW15" s="42">
        <f>+SUM(DW16:DW37)</f>
        <v>680004.62725700939</v>
      </c>
      <c r="DX15" s="42">
        <f>+'[1]тарифы (НВВ) население на 4,2%'!CO24</f>
        <v>78.657451727053498</v>
      </c>
      <c r="DY15" s="42">
        <f t="shared" si="8"/>
        <v>59.055330544390984</v>
      </c>
      <c r="DZ15" s="19">
        <f t="shared" si="9"/>
        <v>0</v>
      </c>
      <c r="EA15" s="19">
        <f t="shared" si="10"/>
        <v>0</v>
      </c>
      <c r="EB15" s="19"/>
      <c r="EC15" s="22">
        <f>+SUM(EC16:EC37)</f>
        <v>255076.00945155305</v>
      </c>
      <c r="ED15" s="22">
        <f>+SUM(ED16:ED37)</f>
        <v>260286.40113226848</v>
      </c>
      <c r="EE15" s="80"/>
      <c r="EF15" s="80"/>
      <c r="EG15" s="22">
        <f t="shared" si="13"/>
        <v>0</v>
      </c>
      <c r="EH15" s="80"/>
      <c r="EI15" s="80"/>
      <c r="EJ15" s="22">
        <f t="shared" si="14"/>
        <v>0</v>
      </c>
      <c r="EK15" s="40"/>
      <c r="EL15" s="40"/>
      <c r="EM15" s="40"/>
      <c r="EN15" s="146">
        <f>+SUM(EN16:EN37)</f>
        <v>428709.52333923726</v>
      </c>
      <c r="EO15" s="146">
        <f>+SUM(EO16:EO37)</f>
        <v>722930.6566634</v>
      </c>
      <c r="EP15" s="146" t="e">
        <f>+$EN$442/$EN$445*EN15</f>
        <v>#REF!</v>
      </c>
      <c r="EQ15" s="42">
        <f t="shared" si="92"/>
        <v>59.301610657638278</v>
      </c>
      <c r="ER15" s="42" t="e">
        <f>+IF((EN15+EP15)=0,,(EN15+EP15)/(EO15+EP15))*100</f>
        <v>#REF!</v>
      </c>
      <c r="ES15" s="42"/>
      <c r="ET15" s="42"/>
      <c r="EU15" s="19">
        <f t="shared" si="20"/>
        <v>0</v>
      </c>
      <c r="EV15" s="42"/>
      <c r="EW15" s="39"/>
      <c r="EX15" s="39">
        <f t="shared" si="21"/>
        <v>0</v>
      </c>
      <c r="EY15" s="39">
        <f t="shared" si="22"/>
        <v>0</v>
      </c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41">
        <f>+SUM(FJ17:FJ37)</f>
        <v>282979.22049085592</v>
      </c>
      <c r="FK15" s="41">
        <f>+SUM(FK17:FK37)</f>
        <v>294219.01008094236</v>
      </c>
      <c r="FL15" s="41">
        <f>+SUM(FL17:FL37)</f>
        <v>577198.2305717984</v>
      </c>
      <c r="FM15" s="40"/>
      <c r="FN15" s="40"/>
      <c r="FO15" s="90">
        <f t="shared" si="15"/>
        <v>0</v>
      </c>
      <c r="FP15" s="90"/>
      <c r="FQ15" s="57"/>
      <c r="FR15" s="90">
        <f t="shared" si="98"/>
        <v>0</v>
      </c>
      <c r="FS15" s="90"/>
      <c r="FT15" s="57"/>
      <c r="FU15" s="40"/>
      <c r="FV15" s="91">
        <f t="shared" ref="FV15:GB15" si="117">+SUM(FV17:FV37)</f>
        <v>0</v>
      </c>
      <c r="FW15" s="91">
        <f t="shared" si="117"/>
        <v>0</v>
      </c>
      <c r="FX15" s="91">
        <f t="shared" si="117"/>
        <v>0</v>
      </c>
      <c r="FY15" s="91">
        <f t="shared" si="117"/>
        <v>0</v>
      </c>
      <c r="FZ15" s="91">
        <f t="shared" si="117"/>
        <v>0</v>
      </c>
      <c r="GA15" s="41">
        <f t="shared" si="117"/>
        <v>0</v>
      </c>
      <c r="GB15" s="41">
        <f t="shared" si="117"/>
        <v>0</v>
      </c>
      <c r="GC15" s="20">
        <f t="shared" si="18"/>
        <v>0</v>
      </c>
      <c r="GD15" s="20">
        <f>+IF(GB15=0,,GA15/GB15*100)</f>
        <v>0</v>
      </c>
      <c r="GE15" s="42"/>
      <c r="GF15" s="42"/>
      <c r="GG15" s="42"/>
      <c r="GH15" s="42"/>
      <c r="GI15" s="42"/>
      <c r="GJ15" s="42"/>
      <c r="GK15" s="42"/>
      <c r="GL15" s="42"/>
      <c r="GM15" s="40"/>
      <c r="GN15" s="40"/>
      <c r="GO15" s="90"/>
      <c r="GP15" s="90"/>
      <c r="GQ15" s="57"/>
      <c r="GR15" s="90"/>
      <c r="GS15" s="90"/>
      <c r="GT15" s="57"/>
      <c r="GU15" s="43"/>
      <c r="GV15" s="91"/>
      <c r="GW15" s="91"/>
      <c r="GX15" s="91">
        <f>+SUM(GX16:GX37)</f>
        <v>0</v>
      </c>
      <c r="GY15" s="91">
        <f>+SUM(GY16:GY37)</f>
        <v>0</v>
      </c>
      <c r="GZ15" s="92">
        <f>+IF(GY15=0,,GX15/GY15*100)</f>
        <v>0</v>
      </c>
      <c r="HA15" s="90"/>
      <c r="HB15" s="90"/>
      <c r="HC15" s="57"/>
      <c r="HD15" s="90"/>
      <c r="HE15" s="90"/>
      <c r="HF15" s="57"/>
      <c r="HG15" s="233"/>
    </row>
    <row r="16" spans="2:215" ht="15.75">
      <c r="B16" s="10" t="s">
        <v>151</v>
      </c>
      <c r="C16" s="185" t="s">
        <v>152</v>
      </c>
      <c r="D16" s="76"/>
      <c r="E16" s="73"/>
      <c r="F16" s="74"/>
      <c r="G16" s="74"/>
      <c r="H16" s="74"/>
      <c r="I16" s="73"/>
      <c r="J16" s="75"/>
      <c r="K16" s="75"/>
      <c r="L16" s="75"/>
      <c r="M16" s="76"/>
      <c r="N16" s="75"/>
      <c r="O16" s="74"/>
      <c r="P16" s="74"/>
      <c r="Q16" s="74"/>
      <c r="R16" s="75"/>
      <c r="S16" s="74"/>
      <c r="T16" s="74"/>
      <c r="U16" s="74"/>
      <c r="V16" s="52"/>
      <c r="W16" s="52"/>
      <c r="X16" s="52"/>
      <c r="Y16" s="52"/>
      <c r="Z16" s="22"/>
      <c r="AA16" s="52"/>
      <c r="AB16" s="22"/>
      <c r="AC16" s="52"/>
      <c r="AD16" s="22"/>
      <c r="AE16" s="22"/>
      <c r="AF16" s="22"/>
      <c r="AG16" s="22">
        <f t="shared" si="29"/>
        <v>0</v>
      </c>
      <c r="AH16" s="22"/>
      <c r="AI16" s="22"/>
      <c r="AJ16" s="5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>
        <f>+IF(AR16=0,,AT16/AR16*100)</f>
        <v>0</v>
      </c>
      <c r="AV16" s="77"/>
      <c r="AW16" s="77"/>
      <c r="AX16" s="78"/>
      <c r="AY16" s="22">
        <f t="shared" si="4"/>
        <v>0</v>
      </c>
      <c r="AZ16" s="22"/>
      <c r="BA16" s="22"/>
      <c r="BB16" s="22"/>
      <c r="BC16" s="22"/>
      <c r="BD16" s="22"/>
      <c r="BE16" s="22">
        <f t="shared" si="1"/>
        <v>0</v>
      </c>
      <c r="BF16" s="22"/>
      <c r="BG16" s="22"/>
      <c r="BH16" s="22">
        <f t="shared" si="2"/>
        <v>0</v>
      </c>
      <c r="BI16" s="22"/>
      <c r="BJ16" s="40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19"/>
      <c r="CX16" s="19"/>
      <c r="CY16" s="19">
        <f t="shared" ref="CY16:CY21" si="118">+((AQ16*O16)/1.18+(Q16*AT16)/1.18+(AR16*P16)/1.18)/1000</f>
        <v>0</v>
      </c>
      <c r="CZ16" s="19">
        <f t="shared" ref="CZ16:CZ21" si="119">+((AC16*O16)+(AF16*Q16)+(AD16*P16))/1000</f>
        <v>0</v>
      </c>
      <c r="DA16" s="21"/>
      <c r="DB16" s="21"/>
      <c r="DC16" s="79"/>
      <c r="DD16" s="79"/>
      <c r="DE16" s="79"/>
      <c r="DF16" s="79"/>
      <c r="DG16" s="79"/>
      <c r="DH16" s="51"/>
      <c r="DI16" s="39"/>
      <c r="DJ16" s="80"/>
      <c r="DK16" s="39"/>
      <c r="DL16" s="39"/>
      <c r="DM16" s="48"/>
      <c r="DN16" s="39"/>
      <c r="DO16" s="39"/>
      <c r="DP16" s="39"/>
      <c r="DQ16" s="39"/>
      <c r="DR16" s="39"/>
      <c r="DS16" s="39"/>
      <c r="DT16" s="39"/>
      <c r="DU16" s="19">
        <f t="shared" si="89"/>
        <v>0</v>
      </c>
      <c r="DV16" s="40">
        <f t="shared" si="6"/>
        <v>0</v>
      </c>
      <c r="DW16" s="40">
        <f t="shared" si="7"/>
        <v>0</v>
      </c>
      <c r="DX16" s="46"/>
      <c r="DY16" s="21">
        <f t="shared" si="8"/>
        <v>0</v>
      </c>
      <c r="DZ16" s="19">
        <f t="shared" si="9"/>
        <v>0</v>
      </c>
      <c r="EA16" s="19">
        <f t="shared" si="10"/>
        <v>0</v>
      </c>
      <c r="EB16" s="19"/>
      <c r="EC16" s="48">
        <f t="shared" ref="EC16:EC29" si="120">+(BC16-BF16/1.18)*AZ16/2</f>
        <v>0</v>
      </c>
      <c r="ED16" s="48">
        <f t="shared" ref="ED16:ED29" si="121">+(BD16-BG16/1.18)*AZ16/2</f>
        <v>0</v>
      </c>
      <c r="EE16" s="22"/>
      <c r="EF16" s="22"/>
      <c r="EG16" s="22">
        <f t="shared" si="13"/>
        <v>0</v>
      </c>
      <c r="EH16" s="22"/>
      <c r="EI16" s="22"/>
      <c r="EJ16" s="22">
        <f t="shared" si="14"/>
        <v>0</v>
      </c>
      <c r="EK16" s="40"/>
      <c r="EL16" s="19"/>
      <c r="EM16" s="19"/>
      <c r="EN16" s="40">
        <f t="shared" si="90"/>
        <v>0</v>
      </c>
      <c r="EO16" s="40">
        <f t="shared" si="91"/>
        <v>0</v>
      </c>
      <c r="EP16" s="40"/>
      <c r="EQ16" s="21">
        <f t="shared" si="92"/>
        <v>0</v>
      </c>
      <c r="ER16" s="21"/>
      <c r="ES16" s="21"/>
      <c r="ET16" s="21"/>
      <c r="EU16" s="19">
        <f t="shared" si="20"/>
        <v>0</v>
      </c>
      <c r="EV16" s="21"/>
      <c r="EW16" s="39"/>
      <c r="EX16" s="39">
        <f t="shared" si="21"/>
        <v>0</v>
      </c>
      <c r="EY16" s="39">
        <f t="shared" si="22"/>
        <v>0</v>
      </c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19">
        <f t="shared" si="94"/>
        <v>0</v>
      </c>
      <c r="FK16" s="19">
        <f t="shared" si="95"/>
        <v>0</v>
      </c>
      <c r="FL16" s="19">
        <f t="shared" si="96"/>
        <v>0</v>
      </c>
      <c r="FM16" s="19"/>
      <c r="FN16" s="19"/>
      <c r="FO16" s="22">
        <f t="shared" si="15"/>
        <v>0</v>
      </c>
      <c r="FP16" s="22"/>
      <c r="FQ16" s="22"/>
      <c r="FR16" s="22">
        <f t="shared" si="98"/>
        <v>0</v>
      </c>
      <c r="FS16" s="22"/>
      <c r="FT16" s="22"/>
      <c r="FU16" s="40"/>
      <c r="FV16" s="19">
        <f t="shared" ref="FV16" si="122">+(EF16-EI16/1.18)*EM16</f>
        <v>0</v>
      </c>
      <c r="FW16" s="19">
        <f t="shared" ref="FW16" si="123">+(EF16-EI16/1.18*1.096)*EM16</f>
        <v>0</v>
      </c>
      <c r="FX16" s="19">
        <f t="shared" si="102"/>
        <v>0</v>
      </c>
      <c r="FY16" s="19">
        <f t="shared" si="103"/>
        <v>0</v>
      </c>
      <c r="FZ16" s="19">
        <f t="shared" si="104"/>
        <v>0</v>
      </c>
      <c r="GA16" s="19">
        <f t="shared" si="105"/>
        <v>0</v>
      </c>
      <c r="GB16" s="19">
        <f t="shared" si="106"/>
        <v>0</v>
      </c>
      <c r="GC16" s="20">
        <f t="shared" si="18"/>
        <v>0</v>
      </c>
      <c r="GD16" s="20">
        <f t="shared" si="19"/>
        <v>0</v>
      </c>
      <c r="GE16" s="21"/>
      <c r="GF16" s="21"/>
      <c r="GG16" s="21"/>
      <c r="GH16" s="21"/>
      <c r="GI16" s="21"/>
      <c r="GJ16" s="21">
        <f>+FS16*FN16</f>
        <v>0</v>
      </c>
      <c r="GK16" s="21"/>
      <c r="GL16" s="21"/>
      <c r="GM16" s="19"/>
      <c r="GN16" s="19"/>
      <c r="GO16" s="22"/>
      <c r="GP16" s="22"/>
      <c r="GQ16" s="22"/>
      <c r="GR16" s="22"/>
      <c r="GS16" s="22"/>
      <c r="GT16" s="22"/>
      <c r="GU16" s="43"/>
      <c r="GV16" s="19"/>
      <c r="GW16" s="19"/>
      <c r="GX16" s="19"/>
      <c r="GY16" s="19"/>
      <c r="GZ16" s="19"/>
      <c r="HA16" s="22"/>
      <c r="HB16" s="22"/>
      <c r="HC16" s="22"/>
      <c r="HD16" s="22"/>
      <c r="HE16" s="22"/>
      <c r="HF16" s="22"/>
      <c r="HG16" s="233"/>
    </row>
    <row r="17" spans="2:215" ht="15.75">
      <c r="B17" s="10"/>
      <c r="C17" s="161" t="s">
        <v>153</v>
      </c>
      <c r="D17" s="76"/>
      <c r="E17" s="73"/>
      <c r="F17" s="74"/>
      <c r="G17" s="74"/>
      <c r="H17" s="74"/>
      <c r="I17" s="73"/>
      <c r="J17" s="75"/>
      <c r="K17" s="75"/>
      <c r="L17" s="75"/>
      <c r="M17" s="76"/>
      <c r="N17" s="75"/>
      <c r="O17" s="74"/>
      <c r="P17" s="74"/>
      <c r="Q17" s="74"/>
      <c r="R17" s="75"/>
      <c r="S17" s="74"/>
      <c r="T17" s="74"/>
      <c r="U17" s="74"/>
      <c r="V17" s="52"/>
      <c r="W17" s="52"/>
      <c r="X17" s="52"/>
      <c r="Y17" s="52"/>
      <c r="Z17" s="22"/>
      <c r="AA17" s="52"/>
      <c r="AB17" s="22"/>
      <c r="AC17" s="52"/>
      <c r="AD17" s="22">
        <v>2523.4</v>
      </c>
      <c r="AE17" s="22">
        <f>+IF(AC17=0,,AF17/AC17*100)</f>
        <v>0</v>
      </c>
      <c r="AF17" s="22">
        <v>2523.4</v>
      </c>
      <c r="AG17" s="22">
        <f>+IF(AD17=0,,AF17/AD17*100)</f>
        <v>100</v>
      </c>
      <c r="AH17" s="22"/>
      <c r="AI17" s="22"/>
      <c r="AJ17" s="52"/>
      <c r="AK17" s="22"/>
      <c r="AL17" s="22"/>
      <c r="AM17" s="22"/>
      <c r="AN17" s="22"/>
      <c r="AO17" s="22"/>
      <c r="AP17" s="22"/>
      <c r="AQ17" s="22"/>
      <c r="AR17" s="22">
        <v>1225.25</v>
      </c>
      <c r="AS17" s="22">
        <f>+IF(AQ17=0,,AT17/AQ17*100)</f>
        <v>0</v>
      </c>
      <c r="AT17" s="22">
        <v>1368.6</v>
      </c>
      <c r="AU17" s="22">
        <f>+IF(AR17=0,,AT17/AR17*100)</f>
        <v>111.69965313201386</v>
      </c>
      <c r="AV17" s="77"/>
      <c r="AW17" s="77"/>
      <c r="AX17" s="78" t="s">
        <v>139</v>
      </c>
      <c r="AY17" s="22">
        <f t="shared" si="4"/>
        <v>238.35473073779792</v>
      </c>
      <c r="AZ17" s="22">
        <v>175.48257354999998</v>
      </c>
      <c r="BA17" s="22">
        <v>39.731583790266434</v>
      </c>
      <c r="BB17" s="22">
        <v>23.140573397531526</v>
      </c>
      <c r="BC17" s="22">
        <v>2523.4</v>
      </c>
      <c r="BD17" s="22">
        <v>2629.38</v>
      </c>
      <c r="BE17" s="22">
        <f t="shared" si="1"/>
        <v>104.19988903859871</v>
      </c>
      <c r="BF17" s="22">
        <v>1368.6</v>
      </c>
      <c r="BG17" s="22">
        <v>1426.08</v>
      </c>
      <c r="BH17" s="22">
        <f t="shared" si="2"/>
        <v>104.19991231915826</v>
      </c>
      <c r="BI17" s="22">
        <f>+BD17-BG17/1.18</f>
        <v>1420.8376271186441</v>
      </c>
      <c r="BJ17" s="40" t="s">
        <v>140</v>
      </c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19"/>
      <c r="CX17" s="19"/>
      <c r="CY17" s="19">
        <f t="shared" si="118"/>
        <v>0</v>
      </c>
      <c r="CZ17" s="19">
        <f t="shared" si="119"/>
        <v>0</v>
      </c>
      <c r="DA17" s="21"/>
      <c r="DB17" s="21">
        <f>+IF(CZ17=0,,CY17/CZ17*100)</f>
        <v>0</v>
      </c>
      <c r="DC17" s="79"/>
      <c r="DD17" s="79"/>
      <c r="DE17" s="79"/>
      <c r="DF17" s="79"/>
      <c r="DG17" s="79"/>
      <c r="DH17" s="51"/>
      <c r="DI17" s="39"/>
      <c r="DJ17" s="80"/>
      <c r="DK17" s="39"/>
      <c r="DL17" s="39"/>
      <c r="DM17" s="48"/>
      <c r="DN17" s="39"/>
      <c r="DO17" s="39"/>
      <c r="DP17" s="39"/>
      <c r="DQ17" s="39"/>
      <c r="DR17" s="39"/>
      <c r="DS17" s="39"/>
      <c r="DT17" s="39"/>
      <c r="DU17" s="19">
        <f t="shared" si="89"/>
        <v>203530.04250892371</v>
      </c>
      <c r="DV17" s="40">
        <f t="shared" si="6"/>
        <v>212078.12583744404</v>
      </c>
      <c r="DW17" s="40">
        <f t="shared" si="7"/>
        <v>461410.36924089899</v>
      </c>
      <c r="DX17" s="21">
        <f>+'[1]тарифы (НВВ) население на 4,2%'!CO37</f>
        <v>66.430763975258955</v>
      </c>
      <c r="DY17" s="21">
        <f t="shared" si="8"/>
        <v>45.963016866385068</v>
      </c>
      <c r="DZ17" s="19">
        <f t="shared" si="9"/>
        <v>601.46432754375928</v>
      </c>
      <c r="EA17" s="19">
        <f t="shared" si="10"/>
        <v>626.72516190735109</v>
      </c>
      <c r="EB17" s="48">
        <v>1859.47</v>
      </c>
      <c r="EC17" s="48">
        <f>+(BC17-BF17/1.18)*AZ17</f>
        <v>239282.68358714628</v>
      </c>
      <c r="ED17" s="48">
        <f>+(BD17-BG17/1.18)*AZ17</f>
        <v>249332.24340345492</v>
      </c>
      <c r="EE17" s="22">
        <v>2629.38</v>
      </c>
      <c r="EF17" s="22">
        <v>2813.43</v>
      </c>
      <c r="EG17" s="22">
        <f t="shared" si="13"/>
        <v>106.99974899025624</v>
      </c>
      <c r="EH17" s="22">
        <v>1426.08</v>
      </c>
      <c r="EI17" s="22">
        <v>1546.58</v>
      </c>
      <c r="EJ17" s="22">
        <f t="shared" si="14"/>
        <v>108.44973634017727</v>
      </c>
      <c r="EK17" s="40" t="s">
        <v>141</v>
      </c>
      <c r="EL17" s="19">
        <v>236.67692</v>
      </c>
      <c r="EM17" s="19">
        <v>172.37081000000001</v>
      </c>
      <c r="EN17" s="40">
        <f t="shared" si="90"/>
        <v>225919.70112694916</v>
      </c>
      <c r="EO17" s="40">
        <f t="shared" si="91"/>
        <v>484953.20797829999</v>
      </c>
      <c r="EP17" s="40"/>
      <c r="EQ17" s="21">
        <f t="shared" si="92"/>
        <v>46.585876206237678</v>
      </c>
      <c r="ER17" s="21"/>
      <c r="ES17" s="19">
        <f t="shared" ref="ES17:ES30" si="124">+EL17*EE17</f>
        <v>622313.55990960007</v>
      </c>
      <c r="ET17" s="19"/>
      <c r="EU17" s="19">
        <f t="shared" si="20"/>
        <v>665873.94703559997</v>
      </c>
      <c r="EV17" s="21"/>
      <c r="EW17" s="166"/>
      <c r="EX17" s="39">
        <f t="shared" si="21"/>
        <v>626725.16190735111</v>
      </c>
      <c r="EY17" s="39">
        <f t="shared" si="22"/>
        <v>670594.35009964276</v>
      </c>
      <c r="EZ17" s="39"/>
      <c r="FA17" s="39"/>
      <c r="FB17" s="39"/>
      <c r="FC17" s="39"/>
      <c r="FD17" s="39"/>
      <c r="FE17" s="166"/>
      <c r="FF17" s="39"/>
      <c r="FG17" s="39"/>
      <c r="FH17" s="39"/>
      <c r="FI17" s="39"/>
      <c r="FJ17" s="19">
        <f t="shared" si="94"/>
        <v>244910.93266491866</v>
      </c>
      <c r="FK17" s="19">
        <f t="shared" si="95"/>
        <v>259033.50685135083</v>
      </c>
      <c r="FL17" s="19">
        <f t="shared" si="96"/>
        <v>503944.43951626949</v>
      </c>
      <c r="FM17" s="19">
        <f>231.847+4.59965</f>
        <v>236.44665000000001</v>
      </c>
      <c r="FN17" s="19">
        <f>172.583+3.011</f>
        <v>175.59399999999999</v>
      </c>
      <c r="FO17" s="22">
        <v>3013.12</v>
      </c>
      <c r="FP17" s="22">
        <v>3072.25</v>
      </c>
      <c r="FQ17" s="22">
        <f t="shared" ref="FQ17:FQ52" si="125">+IF(FO17=0,,FP17/FO17*100)</f>
        <v>101.96241769328802</v>
      </c>
      <c r="FR17" s="22">
        <v>1854.99</v>
      </c>
      <c r="FS17" s="22">
        <v>2040.49</v>
      </c>
      <c r="FT17" s="22">
        <f t="shared" ref="FT17:FT30" si="126">+IF(FR17=0,,FS17/FR17*100)</f>
        <v>110.00005390864641</v>
      </c>
      <c r="FU17" s="40" t="s">
        <v>624</v>
      </c>
      <c r="FV17" s="19"/>
      <c r="FW17" s="19"/>
      <c r="FX17" s="19"/>
      <c r="FY17" s="19"/>
      <c r="FZ17" s="19"/>
      <c r="GA17" s="19"/>
      <c r="GB17" s="19"/>
      <c r="GC17" s="20"/>
      <c r="GD17" s="20"/>
      <c r="GE17" s="19"/>
      <c r="GF17" s="19"/>
      <c r="GG17" s="19"/>
      <c r="GH17" s="19"/>
      <c r="GI17" s="19"/>
      <c r="GJ17" s="21"/>
      <c r="GK17" s="19"/>
      <c r="GL17" s="19"/>
      <c r="GM17" s="19"/>
      <c r="GN17" s="19"/>
      <c r="GO17" s="22">
        <v>3083.47</v>
      </c>
      <c r="GP17" s="22">
        <v>3217.34</v>
      </c>
      <c r="GQ17" s="22"/>
      <c r="GR17" s="22">
        <v>2040.49</v>
      </c>
      <c r="GS17" s="22">
        <v>2118.0300000000002</v>
      </c>
      <c r="GT17" s="22"/>
      <c r="GU17" s="40" t="s">
        <v>624</v>
      </c>
      <c r="GV17" s="19"/>
      <c r="GW17" s="19"/>
      <c r="GX17" s="19"/>
      <c r="GY17" s="19"/>
      <c r="GZ17" s="23"/>
      <c r="HA17" s="22">
        <v>3217.34</v>
      </c>
      <c r="HB17" s="22">
        <v>3305.42</v>
      </c>
      <c r="HC17" s="22"/>
      <c r="HD17" s="22">
        <v>2118.0300000000002</v>
      </c>
      <c r="HE17" s="22">
        <v>2202.75</v>
      </c>
      <c r="HF17" s="22"/>
      <c r="HG17" s="236" t="s">
        <v>624</v>
      </c>
    </row>
    <row r="18" spans="2:215" ht="15.75">
      <c r="B18" s="10"/>
      <c r="C18" s="161" t="s">
        <v>154</v>
      </c>
      <c r="D18" s="76"/>
      <c r="E18" s="73"/>
      <c r="F18" s="74"/>
      <c r="G18" s="74"/>
      <c r="H18" s="74"/>
      <c r="I18" s="73"/>
      <c r="J18" s="75"/>
      <c r="K18" s="75"/>
      <c r="L18" s="75"/>
      <c r="M18" s="76"/>
      <c r="N18" s="75"/>
      <c r="O18" s="74"/>
      <c r="P18" s="74"/>
      <c r="Q18" s="74"/>
      <c r="R18" s="75"/>
      <c r="S18" s="74"/>
      <c r="T18" s="74"/>
      <c r="U18" s="74"/>
      <c r="V18" s="52"/>
      <c r="W18" s="52"/>
      <c r="X18" s="52"/>
      <c r="Y18" s="52"/>
      <c r="Z18" s="22"/>
      <c r="AA18" s="52"/>
      <c r="AB18" s="22"/>
      <c r="AC18" s="52"/>
      <c r="AD18" s="22"/>
      <c r="AE18" s="22"/>
      <c r="AF18" s="22"/>
      <c r="AG18" s="22"/>
      <c r="AH18" s="22"/>
      <c r="AI18" s="22"/>
      <c r="AJ18" s="5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77"/>
      <c r="AW18" s="77"/>
      <c r="AX18" s="78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40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19"/>
      <c r="CX18" s="19"/>
      <c r="CY18" s="19">
        <f t="shared" si="118"/>
        <v>0</v>
      </c>
      <c r="CZ18" s="19">
        <f t="shared" si="119"/>
        <v>0</v>
      </c>
      <c r="DA18" s="21"/>
      <c r="DB18" s="21"/>
      <c r="DC18" s="79"/>
      <c r="DD18" s="79"/>
      <c r="DE18" s="79"/>
      <c r="DF18" s="79"/>
      <c r="DG18" s="79"/>
      <c r="DH18" s="51"/>
      <c r="DI18" s="39"/>
      <c r="DJ18" s="80"/>
      <c r="DK18" s="39"/>
      <c r="DL18" s="39"/>
      <c r="DM18" s="48"/>
      <c r="DN18" s="39"/>
      <c r="DO18" s="39"/>
      <c r="DP18" s="39"/>
      <c r="DQ18" s="39"/>
      <c r="DR18" s="39"/>
      <c r="DS18" s="39"/>
      <c r="DT18" s="39"/>
      <c r="DU18" s="19"/>
      <c r="DV18" s="40"/>
      <c r="DW18" s="40"/>
      <c r="DX18" s="21"/>
      <c r="DY18" s="21"/>
      <c r="DZ18" s="19"/>
      <c r="EA18" s="19"/>
      <c r="EB18" s="48"/>
      <c r="EC18" s="48"/>
      <c r="ED18" s="48"/>
      <c r="EE18" s="22"/>
      <c r="EF18" s="22"/>
      <c r="EG18" s="22"/>
      <c r="EH18" s="22"/>
      <c r="EI18" s="22"/>
      <c r="EJ18" s="22"/>
      <c r="EK18" s="40"/>
      <c r="EL18" s="19"/>
      <c r="EM18" s="19"/>
      <c r="EN18" s="40"/>
      <c r="EO18" s="40"/>
      <c r="EP18" s="40"/>
      <c r="EQ18" s="21"/>
      <c r="ER18" s="21"/>
      <c r="ES18" s="19"/>
      <c r="ET18" s="19"/>
      <c r="EU18" s="19"/>
      <c r="EV18" s="21"/>
      <c r="EW18" s="166"/>
      <c r="EX18" s="39"/>
      <c r="EY18" s="39"/>
      <c r="EZ18" s="39"/>
      <c r="FA18" s="39"/>
      <c r="FB18" s="39"/>
      <c r="FC18" s="39"/>
      <c r="FD18" s="39"/>
      <c r="FE18" s="166"/>
      <c r="FF18" s="39"/>
      <c r="FG18" s="39"/>
      <c r="FH18" s="39"/>
      <c r="FI18" s="39"/>
      <c r="FJ18" s="19"/>
      <c r="FK18" s="19"/>
      <c r="FL18" s="19"/>
      <c r="FM18" s="19">
        <v>0.34989999999999999</v>
      </c>
      <c r="FN18" s="19">
        <v>0.34989999999999999</v>
      </c>
      <c r="FO18" s="22">
        <v>1985.37</v>
      </c>
      <c r="FP18" s="22">
        <v>2035.58</v>
      </c>
      <c r="FQ18" s="22">
        <f t="shared" si="125"/>
        <v>102.52899963231035</v>
      </c>
      <c r="FR18" s="22">
        <v>1854.99</v>
      </c>
      <c r="FS18" s="22">
        <v>2040.49</v>
      </c>
      <c r="FT18" s="22">
        <f t="shared" si="126"/>
        <v>110.00005390864641</v>
      </c>
      <c r="FU18" s="40" t="s">
        <v>712</v>
      </c>
      <c r="FV18" s="19"/>
      <c r="FW18" s="19"/>
      <c r="FX18" s="19"/>
      <c r="FY18" s="19"/>
      <c r="FZ18" s="19"/>
      <c r="GA18" s="19"/>
      <c r="GB18" s="19"/>
      <c r="GC18" s="20"/>
      <c r="GD18" s="20"/>
      <c r="GE18" s="19"/>
      <c r="GF18" s="19"/>
      <c r="GG18" s="19"/>
      <c r="GH18" s="19"/>
      <c r="GI18" s="19"/>
      <c r="GJ18" s="21"/>
      <c r="GK18" s="19"/>
      <c r="GL18" s="19"/>
      <c r="GM18" s="19"/>
      <c r="GN18" s="19"/>
      <c r="GO18" s="22">
        <v>2035.58</v>
      </c>
      <c r="GP18" s="22">
        <v>2092.37</v>
      </c>
      <c r="GQ18" s="22"/>
      <c r="GR18" s="22">
        <v>2040.49</v>
      </c>
      <c r="GS18" s="22">
        <v>2118.0300000000002</v>
      </c>
      <c r="GT18" s="22"/>
      <c r="GU18" s="40" t="s">
        <v>712</v>
      </c>
      <c r="GV18" s="19"/>
      <c r="GW18" s="19"/>
      <c r="GX18" s="19"/>
      <c r="GY18" s="19"/>
      <c r="GZ18" s="23"/>
      <c r="HA18" s="22">
        <v>2092.37</v>
      </c>
      <c r="HB18" s="22">
        <v>2289.83</v>
      </c>
      <c r="HC18" s="22"/>
      <c r="HD18" s="22">
        <v>2118.0300000000002</v>
      </c>
      <c r="HE18" s="22">
        <v>2202.75</v>
      </c>
      <c r="HF18" s="22">
        <f t="shared" ref="HF18:HF30" si="127">+IF(HD18=0,,HE18/HD18*100)</f>
        <v>103.99994334357869</v>
      </c>
      <c r="HG18" s="236" t="s">
        <v>712</v>
      </c>
    </row>
    <row r="19" spans="2:215" ht="15.75">
      <c r="B19" s="10"/>
      <c r="C19" s="184" t="s">
        <v>155</v>
      </c>
      <c r="D19" s="76"/>
      <c r="E19" s="73"/>
      <c r="F19" s="74"/>
      <c r="G19" s="74"/>
      <c r="H19" s="74"/>
      <c r="I19" s="73"/>
      <c r="J19" s="75"/>
      <c r="K19" s="75"/>
      <c r="L19" s="75"/>
      <c r="M19" s="76"/>
      <c r="N19" s="75"/>
      <c r="O19" s="74"/>
      <c r="P19" s="74"/>
      <c r="Q19" s="74"/>
      <c r="R19" s="75"/>
      <c r="S19" s="74"/>
      <c r="T19" s="74"/>
      <c r="U19" s="74"/>
      <c r="V19" s="52"/>
      <c r="W19" s="52"/>
      <c r="X19" s="52"/>
      <c r="Y19" s="52"/>
      <c r="Z19" s="22"/>
      <c r="AA19" s="52"/>
      <c r="AB19" s="22"/>
      <c r="AC19" s="52"/>
      <c r="AD19" s="22">
        <v>191.07</v>
      </c>
      <c r="AE19" s="22">
        <v>191.07</v>
      </c>
      <c r="AF19" s="22">
        <v>191.07</v>
      </c>
      <c r="AG19" s="22">
        <f t="shared" ref="AG19:AG30" si="128">+IF(AD19=0,,AF19/AD19*100)</f>
        <v>100</v>
      </c>
      <c r="AH19" s="22"/>
      <c r="AI19" s="22"/>
      <c r="AJ19" s="52"/>
      <c r="AK19" s="22"/>
      <c r="AL19" s="22"/>
      <c r="AM19" s="22"/>
      <c r="AN19" s="22"/>
      <c r="AO19" s="22"/>
      <c r="AP19" s="22"/>
      <c r="AQ19" s="22"/>
      <c r="AR19" s="22">
        <v>93.21</v>
      </c>
      <c r="AS19" s="22">
        <f>+IF(AQ19=0,,AT19/AQ19*100)</f>
        <v>0</v>
      </c>
      <c r="AT19" s="22">
        <v>103.85</v>
      </c>
      <c r="AU19" s="22">
        <f t="shared" ref="AU19:AU30" si="129">+IF(AR19=0,,AT19/AR19*100)</f>
        <v>111.41508421843149</v>
      </c>
      <c r="AV19" s="77"/>
      <c r="AW19" s="77"/>
      <c r="AX19" s="78" t="s">
        <v>156</v>
      </c>
      <c r="AY19" s="22"/>
      <c r="AZ19" s="22"/>
      <c r="BA19" s="22"/>
      <c r="BB19" s="22"/>
      <c r="BC19" s="22"/>
      <c r="BD19" s="22"/>
      <c r="BE19" s="22">
        <f t="shared" si="1"/>
        <v>0</v>
      </c>
      <c r="BF19" s="22">
        <v>103.85</v>
      </c>
      <c r="BG19" s="22">
        <v>108.21</v>
      </c>
      <c r="BH19" s="22">
        <f t="shared" si="2"/>
        <v>104.19836302359171</v>
      </c>
      <c r="BI19" s="22"/>
      <c r="BJ19" s="40" t="s">
        <v>157</v>
      </c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19"/>
      <c r="CX19" s="19"/>
      <c r="CY19" s="19">
        <f t="shared" si="118"/>
        <v>0</v>
      </c>
      <c r="CZ19" s="19">
        <f t="shared" si="119"/>
        <v>0</v>
      </c>
      <c r="DA19" s="21"/>
      <c r="DB19" s="21"/>
      <c r="DC19" s="79"/>
      <c r="DD19" s="79"/>
      <c r="DE19" s="79"/>
      <c r="DF19" s="79"/>
      <c r="DG19" s="79"/>
      <c r="DH19" s="51"/>
      <c r="DI19" s="39"/>
      <c r="DJ19" s="80"/>
      <c r="DK19" s="39"/>
      <c r="DL19" s="39"/>
      <c r="DM19" s="48"/>
      <c r="DN19" s="39"/>
      <c r="DO19" s="39"/>
      <c r="DP19" s="39"/>
      <c r="DQ19" s="39"/>
      <c r="DR19" s="39"/>
      <c r="DS19" s="166">
        <f>+BF19-25.63</f>
        <v>78.22</v>
      </c>
      <c r="DT19" s="39"/>
      <c r="DU19" s="19">
        <f t="shared" si="89"/>
        <v>0</v>
      </c>
      <c r="DV19" s="40">
        <f>+('[1]тарифы (НВВ) население на 4,2%'!CL39+'[1]тарифы (НВВ) население на 4,2%'!CL32+'[1]тарифы (НВВ) население на 4,2%'!CL31)*1.042</f>
        <v>25884.468167353582</v>
      </c>
      <c r="DW19" s="40">
        <f>+('[1]тарифы (НВВ) население на 4,2%'!CM39+'[1]тарифы (НВВ) население на 4,2%'!CM32+'[1]тарифы (НВВ) население на 4,2%'!CM31)*1.042</f>
        <v>44023.577426110387</v>
      </c>
      <c r="DX19" s="46"/>
      <c r="DY19" s="21">
        <f t="shared" si="8"/>
        <v>58.79683042750974</v>
      </c>
      <c r="DZ19" s="19">
        <f t="shared" si="9"/>
        <v>0</v>
      </c>
      <c r="EA19" s="19">
        <f t="shared" si="10"/>
        <v>0</v>
      </c>
      <c r="EB19" s="19"/>
      <c r="EC19" s="48">
        <f t="shared" si="120"/>
        <v>0</v>
      </c>
      <c r="ED19" s="48">
        <f t="shared" si="121"/>
        <v>0</v>
      </c>
      <c r="EE19" s="22">
        <v>199.09</v>
      </c>
      <c r="EF19" s="22">
        <v>212.77</v>
      </c>
      <c r="EG19" s="22">
        <f t="shared" si="13"/>
        <v>106.87126425234818</v>
      </c>
      <c r="EH19" s="22">
        <v>108.21</v>
      </c>
      <c r="EI19" s="22">
        <v>117.35</v>
      </c>
      <c r="EJ19" s="22">
        <f t="shared" si="14"/>
        <v>108.44653913686351</v>
      </c>
      <c r="EK19" s="40" t="s">
        <v>158</v>
      </c>
      <c r="EL19" s="19">
        <v>343.69809000000004</v>
      </c>
      <c r="EM19" s="19">
        <v>268.75763000000001</v>
      </c>
      <c r="EN19" s="40">
        <f>+EI19*(EM19/1.18)</f>
        <v>26727.718542796611</v>
      </c>
      <c r="EO19" s="40">
        <f t="shared" si="91"/>
        <v>57183.560935100002</v>
      </c>
      <c r="EP19" s="40"/>
      <c r="EQ19" s="21">
        <f t="shared" si="92"/>
        <v>46.740213630856267</v>
      </c>
      <c r="ER19" s="21"/>
      <c r="ES19" s="19">
        <f t="shared" si="124"/>
        <v>68426.852738100002</v>
      </c>
      <c r="ET19" s="19"/>
      <c r="EU19" s="19">
        <f t="shared" si="20"/>
        <v>73128.642609300005</v>
      </c>
      <c r="EV19" s="21"/>
      <c r="EW19" s="166"/>
      <c r="EX19" s="39">
        <f t="shared" si="21"/>
        <v>0</v>
      </c>
      <c r="EY19" s="39">
        <f t="shared" si="22"/>
        <v>0</v>
      </c>
      <c r="EZ19" s="39"/>
      <c r="FA19" s="39"/>
      <c r="FB19" s="39"/>
      <c r="FC19" s="39"/>
      <c r="FD19" s="39"/>
      <c r="FE19" s="166"/>
      <c r="FF19" s="39"/>
      <c r="FG19" s="39"/>
      <c r="FH19" s="39"/>
      <c r="FI19" s="39"/>
      <c r="FJ19" s="19">
        <f t="shared" si="94"/>
        <v>28860.970842886443</v>
      </c>
      <c r="FK19" s="19">
        <f t="shared" si="95"/>
        <v>30455.842392303392</v>
      </c>
      <c r="FL19" s="19">
        <f t="shared" si="96"/>
        <v>59316.813235189838</v>
      </c>
      <c r="FM19" s="19">
        <v>310.154</v>
      </c>
      <c r="FN19" s="19">
        <v>242.54</v>
      </c>
      <c r="FO19" s="22">
        <v>225.1</v>
      </c>
      <c r="FP19" s="22">
        <v>230.12</v>
      </c>
      <c r="FQ19" s="22">
        <f t="shared" si="125"/>
        <v>102.23011994669035</v>
      </c>
      <c r="FR19" s="22">
        <v>142.75</v>
      </c>
      <c r="FS19" s="22">
        <v>152.74</v>
      </c>
      <c r="FT19" s="22">
        <f t="shared" si="126"/>
        <v>106.99824868651488</v>
      </c>
      <c r="FU19" s="40" t="s">
        <v>631</v>
      </c>
      <c r="FV19" s="19"/>
      <c r="FW19" s="19"/>
      <c r="FX19" s="19"/>
      <c r="FY19" s="19"/>
      <c r="FZ19" s="19"/>
      <c r="GA19" s="19"/>
      <c r="GB19" s="19"/>
      <c r="GC19" s="20"/>
      <c r="GD19" s="20"/>
      <c r="GE19" s="19"/>
      <c r="GF19" s="19"/>
      <c r="GG19" s="19"/>
      <c r="GH19" s="19"/>
      <c r="GI19" s="19"/>
      <c r="GJ19" s="21"/>
      <c r="GK19" s="19"/>
      <c r="GL19" s="19"/>
      <c r="GM19" s="19"/>
      <c r="GN19" s="19"/>
      <c r="GO19" s="22">
        <v>230.12</v>
      </c>
      <c r="GP19" s="22">
        <v>238.86</v>
      </c>
      <c r="GQ19" s="22"/>
      <c r="GR19" s="22">
        <v>152.74</v>
      </c>
      <c r="GS19" s="22">
        <v>158.54</v>
      </c>
      <c r="GT19" s="22"/>
      <c r="GU19" s="40" t="s">
        <v>631</v>
      </c>
      <c r="GV19" s="19"/>
      <c r="GW19" s="19"/>
      <c r="GX19" s="19"/>
      <c r="GY19" s="19"/>
      <c r="GZ19" s="23"/>
      <c r="HA19" s="22">
        <v>238.86</v>
      </c>
      <c r="HB19" s="22">
        <v>248.42</v>
      </c>
      <c r="HC19" s="22"/>
      <c r="HD19" s="22">
        <v>158.54</v>
      </c>
      <c r="HE19" s="22">
        <v>164.89</v>
      </c>
      <c r="HF19" s="22">
        <f t="shared" si="127"/>
        <v>104.00529834742021</v>
      </c>
      <c r="HG19" s="236" t="s">
        <v>631</v>
      </c>
    </row>
    <row r="20" spans="2:215" ht="15.75">
      <c r="B20" s="10" t="s">
        <v>159</v>
      </c>
      <c r="C20" s="81" t="s">
        <v>160</v>
      </c>
      <c r="D20" s="76"/>
      <c r="E20" s="73"/>
      <c r="F20" s="74"/>
      <c r="G20" s="74"/>
      <c r="H20" s="74"/>
      <c r="I20" s="73"/>
      <c r="J20" s="75"/>
      <c r="K20" s="75"/>
      <c r="L20" s="75"/>
      <c r="M20" s="76"/>
      <c r="N20" s="75"/>
      <c r="O20" s="74"/>
      <c r="P20" s="74"/>
      <c r="Q20" s="74"/>
      <c r="R20" s="75"/>
      <c r="S20" s="74"/>
      <c r="T20" s="74"/>
      <c r="U20" s="74"/>
      <c r="V20" s="52"/>
      <c r="W20" s="52"/>
      <c r="X20" s="52"/>
      <c r="Y20" s="52"/>
      <c r="Z20" s="22"/>
      <c r="AA20" s="52"/>
      <c r="AB20" s="22"/>
      <c r="AC20" s="52"/>
      <c r="AD20" s="22"/>
      <c r="AE20" s="22"/>
      <c r="AF20" s="22"/>
      <c r="AG20" s="22">
        <f t="shared" si="128"/>
        <v>0</v>
      </c>
      <c r="AH20" s="22"/>
      <c r="AI20" s="22"/>
      <c r="AJ20" s="5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>
        <f t="shared" si="129"/>
        <v>0</v>
      </c>
      <c r="AV20" s="77"/>
      <c r="AW20" s="77"/>
      <c r="AX20" s="78"/>
      <c r="AY20" s="22">
        <f t="shared" si="4"/>
        <v>0</v>
      </c>
      <c r="AZ20" s="22"/>
      <c r="BA20" s="22"/>
      <c r="BB20" s="22"/>
      <c r="BC20" s="22"/>
      <c r="BD20" s="22"/>
      <c r="BE20" s="22">
        <f t="shared" si="1"/>
        <v>0</v>
      </c>
      <c r="BF20" s="22"/>
      <c r="BG20" s="22"/>
      <c r="BH20" s="22">
        <f t="shared" si="2"/>
        <v>0</v>
      </c>
      <c r="BI20" s="22"/>
      <c r="BJ20" s="40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19"/>
      <c r="CX20" s="19"/>
      <c r="CY20" s="19">
        <f t="shared" si="118"/>
        <v>0</v>
      </c>
      <c r="CZ20" s="19">
        <f t="shared" si="119"/>
        <v>0</v>
      </c>
      <c r="DA20" s="21"/>
      <c r="DB20" s="21"/>
      <c r="DC20" s="79"/>
      <c r="DD20" s="79"/>
      <c r="DE20" s="79"/>
      <c r="DF20" s="79"/>
      <c r="DG20" s="79"/>
      <c r="DH20" s="51"/>
      <c r="DI20" s="39"/>
      <c r="DJ20" s="80"/>
      <c r="DK20" s="39"/>
      <c r="DL20" s="39"/>
      <c r="DM20" s="48"/>
      <c r="DN20" s="39"/>
      <c r="DO20" s="39"/>
      <c r="DP20" s="39"/>
      <c r="DQ20" s="39"/>
      <c r="DR20" s="39"/>
      <c r="DS20" s="39">
        <f>+DS19/1368.6</f>
        <v>5.7153295338301914E-2</v>
      </c>
      <c r="DT20" s="39"/>
      <c r="DU20" s="19">
        <f t="shared" si="89"/>
        <v>0</v>
      </c>
      <c r="DV20" s="40">
        <f t="shared" si="6"/>
        <v>0</v>
      </c>
      <c r="DW20" s="40">
        <f t="shared" si="7"/>
        <v>0</v>
      </c>
      <c r="DX20" s="46"/>
      <c r="DY20" s="21">
        <f t="shared" si="8"/>
        <v>0</v>
      </c>
      <c r="DZ20" s="19">
        <f t="shared" si="9"/>
        <v>0</v>
      </c>
      <c r="EA20" s="19">
        <f t="shared" si="10"/>
        <v>0</v>
      </c>
      <c r="EB20" s="19"/>
      <c r="EC20" s="48">
        <f t="shared" si="120"/>
        <v>0</v>
      </c>
      <c r="ED20" s="48">
        <f t="shared" si="121"/>
        <v>0</v>
      </c>
      <c r="EE20" s="22"/>
      <c r="EF20" s="22"/>
      <c r="EG20" s="22">
        <f t="shared" si="13"/>
        <v>0</v>
      </c>
      <c r="EH20" s="22"/>
      <c r="EI20" s="22"/>
      <c r="EJ20" s="22">
        <f t="shared" si="14"/>
        <v>0</v>
      </c>
      <c r="EK20" s="40"/>
      <c r="EL20" s="19"/>
      <c r="EM20" s="19"/>
      <c r="EN20" s="40">
        <f t="shared" si="90"/>
        <v>0</v>
      </c>
      <c r="EO20" s="40">
        <f t="shared" si="91"/>
        <v>0</v>
      </c>
      <c r="EP20" s="40"/>
      <c r="EQ20" s="21">
        <f t="shared" si="92"/>
        <v>0</v>
      </c>
      <c r="ER20" s="21"/>
      <c r="ES20" s="19">
        <f t="shared" si="124"/>
        <v>0</v>
      </c>
      <c r="ET20" s="19"/>
      <c r="EU20" s="19">
        <f t="shared" si="20"/>
        <v>0</v>
      </c>
      <c r="EV20" s="21"/>
      <c r="EW20" s="166"/>
      <c r="EX20" s="39">
        <f t="shared" si="21"/>
        <v>0</v>
      </c>
      <c r="EY20" s="39">
        <f t="shared" si="22"/>
        <v>0</v>
      </c>
      <c r="EZ20" s="39"/>
      <c r="FA20" s="39"/>
      <c r="FB20" s="39"/>
      <c r="FC20" s="39"/>
      <c r="FD20" s="39"/>
      <c r="FE20" s="166"/>
      <c r="FF20" s="39"/>
      <c r="FG20" s="39"/>
      <c r="FH20" s="39"/>
      <c r="FI20" s="39"/>
      <c r="FJ20" s="19">
        <f t="shared" si="94"/>
        <v>0</v>
      </c>
      <c r="FK20" s="19">
        <f t="shared" si="95"/>
        <v>0</v>
      </c>
      <c r="FL20" s="19">
        <f t="shared" si="96"/>
        <v>0</v>
      </c>
      <c r="FM20" s="19"/>
      <c r="FN20" s="19"/>
      <c r="FO20" s="22">
        <f t="shared" si="15"/>
        <v>0</v>
      </c>
      <c r="FP20" s="22"/>
      <c r="FQ20" s="22">
        <f t="shared" si="125"/>
        <v>0</v>
      </c>
      <c r="FR20" s="22">
        <f t="shared" si="98"/>
        <v>0</v>
      </c>
      <c r="FS20" s="22"/>
      <c r="FT20" s="22">
        <f t="shared" si="126"/>
        <v>0</v>
      </c>
      <c r="FU20" s="40"/>
      <c r="FV20" s="19">
        <f t="shared" ref="FV20:FV29" si="130">+(FO20-FR20/1.18)*FN20</f>
        <v>0</v>
      </c>
      <c r="FW20" s="19">
        <f t="shared" ref="FW20:FW29" si="131">+(FP20-FS20/1.18)*FN20</f>
        <v>0</v>
      </c>
      <c r="FX20" s="19">
        <f t="shared" si="102"/>
        <v>0</v>
      </c>
      <c r="FY20" s="19">
        <f t="shared" ref="FY20:FY29" si="132">+(FR20*EM20)/1.18</f>
        <v>0</v>
      </c>
      <c r="FZ20" s="19">
        <f t="shared" ref="FZ20:FZ29" si="133">+FO20*EM20</f>
        <v>0</v>
      </c>
      <c r="GA20" s="19">
        <f t="shared" ref="GA20" si="134">+(FS20*FN20)/1.18</f>
        <v>0</v>
      </c>
      <c r="GB20" s="19">
        <f t="shared" ref="GB20" si="135">+FP20*FN20</f>
        <v>0</v>
      </c>
      <c r="GC20" s="20">
        <f t="shared" si="18"/>
        <v>0</v>
      </c>
      <c r="GD20" s="20">
        <f t="shared" si="19"/>
        <v>0</v>
      </c>
      <c r="GE20" s="19">
        <f t="shared" ref="GE20:GE29" si="136">+FO20*FM20</f>
        <v>0</v>
      </c>
      <c r="GF20" s="19">
        <f t="shared" ref="GF20:GF29" si="137">+FR20*FN20</f>
        <v>0</v>
      </c>
      <c r="GG20" s="19"/>
      <c r="GH20" s="19"/>
      <c r="GI20" s="19">
        <f t="shared" ref="GI20:GI29" si="138">+FP20*FM20</f>
        <v>0</v>
      </c>
      <c r="GJ20" s="21">
        <f t="shared" ref="GJ20:GJ29" si="139">+FS20*FN20</f>
        <v>0</v>
      </c>
      <c r="GK20" s="19"/>
      <c r="GL20" s="19"/>
      <c r="GM20" s="19"/>
      <c r="GN20" s="19"/>
      <c r="GO20" s="22"/>
      <c r="GP20" s="22"/>
      <c r="GQ20" s="22">
        <f t="shared" ref="GQ20:GQ35" si="140">+IF(GO20=0,,GP20/GO20*100)</f>
        <v>0</v>
      </c>
      <c r="GR20" s="22"/>
      <c r="GS20" s="22"/>
      <c r="GT20" s="22">
        <f t="shared" ref="GT20:GT29" si="141">+IF(GR20=0,,GS20/GR20*100)</f>
        <v>0</v>
      </c>
      <c r="GU20" s="43"/>
      <c r="GV20" s="19"/>
      <c r="GW20" s="19"/>
      <c r="GX20" s="19">
        <f t="shared" ref="GX20:GX29" si="142">+GS20/1.18*GN20</f>
        <v>0</v>
      </c>
      <c r="GY20" s="19">
        <f t="shared" ref="GY20:GY29" si="143">+GP20*GN20</f>
        <v>0</v>
      </c>
      <c r="GZ20" s="23">
        <f t="shared" ref="GZ20:GZ29" si="144">+IF(GY20=0,,GX20/GY20*100)</f>
        <v>0</v>
      </c>
      <c r="HA20" s="22"/>
      <c r="HB20" s="22"/>
      <c r="HC20" s="22">
        <f t="shared" ref="HC20:HC35" si="145">+IF(HA20=0,,HB20/HA20*100)</f>
        <v>0</v>
      </c>
      <c r="HD20" s="22"/>
      <c r="HE20" s="22"/>
      <c r="HF20" s="22">
        <f t="shared" si="127"/>
        <v>0</v>
      </c>
      <c r="HG20" s="233"/>
    </row>
    <row r="21" spans="2:215" ht="15" customHeight="1">
      <c r="B21" s="10"/>
      <c r="C21" s="184" t="s">
        <v>131</v>
      </c>
      <c r="D21" s="76"/>
      <c r="E21" s="73"/>
      <c r="F21" s="74"/>
      <c r="G21" s="74"/>
      <c r="H21" s="74"/>
      <c r="I21" s="73"/>
      <c r="J21" s="75"/>
      <c r="K21" s="75"/>
      <c r="L21" s="75"/>
      <c r="M21" s="76"/>
      <c r="N21" s="75"/>
      <c r="O21" s="74"/>
      <c r="P21" s="74"/>
      <c r="Q21" s="74"/>
      <c r="R21" s="75"/>
      <c r="S21" s="74"/>
      <c r="T21" s="74"/>
      <c r="U21" s="74"/>
      <c r="V21" s="52"/>
      <c r="W21" s="52"/>
      <c r="X21" s="52"/>
      <c r="Y21" s="52"/>
      <c r="Z21" s="22"/>
      <c r="AA21" s="52"/>
      <c r="AB21" s="22"/>
      <c r="AC21" s="52"/>
      <c r="AD21" s="22">
        <v>24.64</v>
      </c>
      <c r="AE21" s="22">
        <f>+IF(AC21=0,,AF21/AC21*100)</f>
        <v>0</v>
      </c>
      <c r="AF21" s="22">
        <v>24.64</v>
      </c>
      <c r="AG21" s="22">
        <f t="shared" si="128"/>
        <v>100</v>
      </c>
      <c r="AH21" s="22"/>
      <c r="AI21" s="22"/>
      <c r="AJ21" s="52"/>
      <c r="AK21" s="22"/>
      <c r="AL21" s="22"/>
      <c r="AM21" s="22"/>
      <c r="AN21" s="22"/>
      <c r="AO21" s="22"/>
      <c r="AP21" s="22"/>
      <c r="AQ21" s="22"/>
      <c r="AR21" s="22">
        <v>23.15</v>
      </c>
      <c r="AS21" s="22">
        <f t="shared" ref="AS21:AS30" si="146">+IF(AQ21=0,,AT21/AQ21*100)</f>
        <v>0</v>
      </c>
      <c r="AT21" s="22">
        <v>25.63</v>
      </c>
      <c r="AU21" s="22">
        <f t="shared" si="129"/>
        <v>110.71274298056156</v>
      </c>
      <c r="AV21" s="77"/>
      <c r="AW21" s="77"/>
      <c r="AX21" s="239" t="s">
        <v>161</v>
      </c>
      <c r="AY21" s="22">
        <f t="shared" si="4"/>
        <v>4641.1899999999996</v>
      </c>
      <c r="AZ21" s="22">
        <f>+[3]БПр!$AC$170/1000</f>
        <v>3050.0599999999995</v>
      </c>
      <c r="BA21" s="22">
        <f>+[3]БПр!$AB$170/1000</f>
        <v>324.57</v>
      </c>
      <c r="BB21" s="22">
        <f>+[3]БПр!$AD$170/1000</f>
        <v>1266.56</v>
      </c>
      <c r="BC21" s="22">
        <v>24.64</v>
      </c>
      <c r="BD21" s="22">
        <v>24.64</v>
      </c>
      <c r="BE21" s="22">
        <f t="shared" si="1"/>
        <v>100</v>
      </c>
      <c r="BF21" s="22">
        <v>25.63</v>
      </c>
      <c r="BG21" s="22">
        <v>26.71</v>
      </c>
      <c r="BH21" s="22">
        <f t="shared" si="2"/>
        <v>104.21381193913383</v>
      </c>
      <c r="BI21" s="22"/>
      <c r="BJ21" s="240" t="s">
        <v>162</v>
      </c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19"/>
      <c r="CX21" s="19"/>
      <c r="CY21" s="19">
        <f t="shared" si="118"/>
        <v>0</v>
      </c>
      <c r="CZ21" s="19">
        <f t="shared" si="119"/>
        <v>0</v>
      </c>
      <c r="DA21" s="21"/>
      <c r="DB21" s="21"/>
      <c r="DC21" s="79"/>
      <c r="DD21" s="79"/>
      <c r="DE21" s="79"/>
      <c r="DF21" s="79"/>
      <c r="DG21" s="79"/>
      <c r="DH21" s="51"/>
      <c r="DI21" s="39"/>
      <c r="DJ21" s="80"/>
      <c r="DK21" s="39"/>
      <c r="DL21" s="39"/>
      <c r="DM21" s="48"/>
      <c r="DN21" s="39"/>
      <c r="DO21" s="39"/>
      <c r="DP21" s="39"/>
      <c r="DQ21" s="39"/>
      <c r="DR21" s="39"/>
      <c r="DS21" s="39"/>
      <c r="DT21" s="166"/>
      <c r="DU21" s="19">
        <f t="shared" si="89"/>
        <v>66248.337118644064</v>
      </c>
      <c r="DV21" s="40">
        <f t="shared" si="6"/>
        <v>69039.917457627103</v>
      </c>
      <c r="DW21" s="40">
        <f t="shared" si="7"/>
        <v>75153.478399999993</v>
      </c>
      <c r="DX21" s="21">
        <f>+'[1]тарифы (НВВ) население на 4,2%'!CO38</f>
        <v>91.667491427705201</v>
      </c>
      <c r="DY21" s="21">
        <f t="shared" si="8"/>
        <v>91.865232225401712</v>
      </c>
      <c r="DZ21" s="19">
        <f t="shared" si="9"/>
        <v>114.35892159999999</v>
      </c>
      <c r="EA21" s="19">
        <f t="shared" si="10"/>
        <v>114.35892159999999</v>
      </c>
      <c r="EB21" s="19"/>
      <c r="EC21" s="48">
        <f>+(BC21-BF21/1.18)*AZ21</f>
        <v>8905.1412813559309</v>
      </c>
      <c r="ED21" s="48">
        <f>+(BD21-BG21/1.18)*AZ21</f>
        <v>6113.560942372872</v>
      </c>
      <c r="EE21" s="22">
        <v>24.64</v>
      </c>
      <c r="EF21" s="22">
        <v>26.11</v>
      </c>
      <c r="EG21" s="22">
        <f t="shared" si="13"/>
        <v>105.96590909090908</v>
      </c>
      <c r="EH21" s="22">
        <v>26.71</v>
      </c>
      <c r="EI21" s="22">
        <v>28.98</v>
      </c>
      <c r="EJ21" s="22">
        <f t="shared" si="14"/>
        <v>108.4986896293523</v>
      </c>
      <c r="EK21" s="240" t="s">
        <v>163</v>
      </c>
      <c r="EL21" s="19">
        <v>4641.1899999999996</v>
      </c>
      <c r="EM21" s="19">
        <v>3050.06</v>
      </c>
      <c r="EN21" s="40">
        <f t="shared" si="90"/>
        <v>74907.405762711875</v>
      </c>
      <c r="EO21" s="40">
        <f t="shared" si="91"/>
        <v>79637.066599999991</v>
      </c>
      <c r="EP21" s="40"/>
      <c r="EQ21" s="21">
        <f t="shared" si="92"/>
        <v>94.060980597082761</v>
      </c>
      <c r="ER21" s="21"/>
      <c r="ES21" s="19">
        <f t="shared" si="124"/>
        <v>114358.92159999999</v>
      </c>
      <c r="ET21" s="19"/>
      <c r="EU21" s="19">
        <f t="shared" si="20"/>
        <v>121181.47089999999</v>
      </c>
      <c r="EV21" s="21"/>
      <c r="EW21" s="166"/>
      <c r="EX21" s="166">
        <f t="shared" ref="EX21:FD21" si="147">+DY21*1.18</f>
        <v>108.40097402597401</v>
      </c>
      <c r="EY21" s="166">
        <f t="shared" si="147"/>
        <v>134.94352748799997</v>
      </c>
      <c r="EZ21" s="166">
        <f t="shared" si="147"/>
        <v>134.94352748799997</v>
      </c>
      <c r="FA21" s="166">
        <f t="shared" si="147"/>
        <v>0</v>
      </c>
      <c r="FB21" s="166">
        <f t="shared" si="147"/>
        <v>10508.066711999998</v>
      </c>
      <c r="FC21" s="166">
        <f t="shared" si="147"/>
        <v>7214.0019119999888</v>
      </c>
      <c r="FD21" s="166">
        <f t="shared" si="147"/>
        <v>29.075199999999999</v>
      </c>
      <c r="FE21" s="166"/>
      <c r="FF21" s="39"/>
      <c r="FG21" s="39"/>
      <c r="FH21" s="39"/>
      <c r="FI21" s="39"/>
      <c r="FJ21" s="19">
        <f t="shared" si="94"/>
        <v>6113.5609423728729</v>
      </c>
      <c r="FK21" s="19">
        <f>+(EF21-EI21/1.18)*EM21</f>
        <v>4729.6608372881246</v>
      </c>
      <c r="FL21" s="19">
        <f t="shared" si="96"/>
        <v>10843.221779660998</v>
      </c>
      <c r="FM21" s="19">
        <v>4235.1400000000003</v>
      </c>
      <c r="FN21" s="19">
        <v>2804.1390499999998</v>
      </c>
      <c r="FO21" s="22">
        <v>32.520000000000003</v>
      </c>
      <c r="FP21" s="22">
        <v>33.04</v>
      </c>
      <c r="FQ21" s="22">
        <f t="shared" si="125"/>
        <v>101.59901599015988</v>
      </c>
      <c r="FR21" s="22">
        <v>39.020000000000003</v>
      </c>
      <c r="FS21" s="22">
        <v>39.65</v>
      </c>
      <c r="FT21" s="22">
        <f t="shared" si="126"/>
        <v>101.61455663762172</v>
      </c>
      <c r="FU21" s="240" t="s">
        <v>632</v>
      </c>
      <c r="FV21" s="19"/>
      <c r="FW21" s="19"/>
      <c r="FX21" s="19"/>
      <c r="FY21" s="19"/>
      <c r="FZ21" s="19"/>
      <c r="GA21" s="19"/>
      <c r="GB21" s="19"/>
      <c r="GC21" s="20"/>
      <c r="GD21" s="20"/>
      <c r="GE21" s="19"/>
      <c r="GF21" s="19"/>
      <c r="GG21" s="19"/>
      <c r="GH21" s="19"/>
      <c r="GI21" s="19"/>
      <c r="GJ21" s="21"/>
      <c r="GK21" s="19"/>
      <c r="GL21" s="19"/>
      <c r="GM21" s="19"/>
      <c r="GN21" s="19"/>
      <c r="GO21" s="22">
        <v>33.99</v>
      </c>
      <c r="GP21" s="22">
        <v>34.799999999999997</v>
      </c>
      <c r="GQ21" s="22"/>
      <c r="GR21" s="22">
        <v>40.79</v>
      </c>
      <c r="GS21" s="22">
        <v>41.76</v>
      </c>
      <c r="GT21" s="22"/>
      <c r="GU21" s="240" t="s">
        <v>632</v>
      </c>
      <c r="GV21" s="19"/>
      <c r="GW21" s="19"/>
      <c r="GX21" s="19"/>
      <c r="GY21" s="19"/>
      <c r="GZ21" s="23"/>
      <c r="HA21" s="22">
        <v>34.799999999999997</v>
      </c>
      <c r="HB21" s="22">
        <v>35.67</v>
      </c>
      <c r="HC21" s="22"/>
      <c r="HD21" s="22">
        <v>41.76</v>
      </c>
      <c r="HE21" s="22">
        <v>42.8</v>
      </c>
      <c r="HF21" s="22">
        <f t="shared" si="127"/>
        <v>102.4904214559387</v>
      </c>
      <c r="HG21" s="240" t="s">
        <v>632</v>
      </c>
    </row>
    <row r="22" spans="2:215" ht="15.75">
      <c r="B22" s="10"/>
      <c r="C22" s="184" t="s">
        <v>133</v>
      </c>
      <c r="D22" s="76"/>
      <c r="E22" s="73"/>
      <c r="F22" s="74"/>
      <c r="G22" s="74"/>
      <c r="H22" s="74"/>
      <c r="I22" s="73"/>
      <c r="J22" s="75"/>
      <c r="K22" s="75"/>
      <c r="L22" s="75"/>
      <c r="M22" s="76"/>
      <c r="N22" s="75"/>
      <c r="O22" s="74"/>
      <c r="P22" s="74"/>
      <c r="Q22" s="74"/>
      <c r="R22" s="75"/>
      <c r="S22" s="74"/>
      <c r="T22" s="74"/>
      <c r="U22" s="74"/>
      <c r="V22" s="52"/>
      <c r="W22" s="52"/>
      <c r="X22" s="52"/>
      <c r="Y22" s="52"/>
      <c r="Z22" s="22"/>
      <c r="AA22" s="52"/>
      <c r="AB22" s="22"/>
      <c r="AC22" s="52"/>
      <c r="AD22" s="22">
        <v>18.64</v>
      </c>
      <c r="AE22" s="22">
        <v>126.37288135593221</v>
      </c>
      <c r="AF22" s="22">
        <v>18.64</v>
      </c>
      <c r="AG22" s="22">
        <f t="shared" si="128"/>
        <v>100</v>
      </c>
      <c r="AH22" s="22"/>
      <c r="AI22" s="22"/>
      <c r="AJ22" s="52"/>
      <c r="AK22" s="22"/>
      <c r="AL22" s="22"/>
      <c r="AM22" s="22"/>
      <c r="AN22" s="22"/>
      <c r="AO22" s="22"/>
      <c r="AP22" s="22"/>
      <c r="AQ22" s="22"/>
      <c r="AR22" s="22">
        <v>17.41</v>
      </c>
      <c r="AS22" s="22">
        <f t="shared" si="146"/>
        <v>0</v>
      </c>
      <c r="AT22" s="22">
        <v>19.260000000000002</v>
      </c>
      <c r="AU22" s="22">
        <f t="shared" si="129"/>
        <v>110.62607696726022</v>
      </c>
      <c r="AV22" s="77"/>
      <c r="AW22" s="77"/>
      <c r="AX22" s="239"/>
      <c r="AY22" s="22">
        <f t="shared" si="4"/>
        <v>3971.9300000000003</v>
      </c>
      <c r="AZ22" s="22">
        <f>+[4]БПр!$O$370/1000</f>
        <v>2942.16</v>
      </c>
      <c r="BA22" s="22">
        <f>+[4]БПр!$N$370/1000</f>
        <v>367.99000000000012</v>
      </c>
      <c r="BB22" s="22">
        <f>+[4]БПр!$P$370/1000</f>
        <v>661.78</v>
      </c>
      <c r="BC22" s="22">
        <v>18.64</v>
      </c>
      <c r="BD22" s="22">
        <v>18.64</v>
      </c>
      <c r="BE22" s="22">
        <f t="shared" si="1"/>
        <v>100</v>
      </c>
      <c r="BF22" s="22">
        <v>19.260000000000002</v>
      </c>
      <c r="BG22" s="22">
        <v>20.07</v>
      </c>
      <c r="BH22" s="22">
        <f t="shared" si="2"/>
        <v>104.20560747663549</v>
      </c>
      <c r="BI22" s="22"/>
      <c r="BJ22" s="240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19"/>
      <c r="CX22" s="19"/>
      <c r="CY22" s="19"/>
      <c r="CZ22" s="19"/>
      <c r="DA22" s="21"/>
      <c r="DB22" s="21"/>
      <c r="DC22" s="79"/>
      <c r="DD22" s="79"/>
      <c r="DE22" s="79"/>
      <c r="DF22" s="79"/>
      <c r="DG22" s="79"/>
      <c r="DH22" s="51"/>
      <c r="DI22" s="39"/>
      <c r="DJ22" s="80"/>
      <c r="DK22" s="39"/>
      <c r="DL22" s="39"/>
      <c r="DM22" s="48"/>
      <c r="DN22" s="39"/>
      <c r="DO22" s="39"/>
      <c r="DP22" s="39"/>
      <c r="DQ22" s="39"/>
      <c r="DR22" s="39"/>
      <c r="DS22" s="39"/>
      <c r="DT22" s="166"/>
      <c r="DU22" s="19">
        <f t="shared" si="89"/>
        <v>48022.035254237293</v>
      </c>
      <c r="DV22" s="40">
        <f t="shared" si="6"/>
        <v>50041.65355932204</v>
      </c>
      <c r="DW22" s="40">
        <f t="shared" si="7"/>
        <v>54841.862399999998</v>
      </c>
      <c r="DX22" s="21">
        <f>+'[1]тарифы (НВВ) население на 4,2%'!CO39</f>
        <v>59.655936026016342</v>
      </c>
      <c r="DY22" s="21">
        <f t="shared" si="8"/>
        <v>91.247181203171607</v>
      </c>
      <c r="DZ22" s="19">
        <f t="shared" si="9"/>
        <v>74.036775200000008</v>
      </c>
      <c r="EA22" s="19">
        <f t="shared" si="10"/>
        <v>74.036775200000008</v>
      </c>
      <c r="EB22" s="19"/>
      <c r="EC22" s="48">
        <f>+(BC22-BF22/1.18)*AZ22</f>
        <v>6819.8271457627079</v>
      </c>
      <c r="ED22" s="48">
        <f>+(BD22-BG22/1.18)*AZ22</f>
        <v>4800.2088406779667</v>
      </c>
      <c r="EE22" s="22">
        <v>18.059999999999999</v>
      </c>
      <c r="EF22" s="22">
        <v>18.059999999999999</v>
      </c>
      <c r="EG22" s="22">
        <f t="shared" si="13"/>
        <v>100</v>
      </c>
      <c r="EH22" s="22">
        <v>20.07</v>
      </c>
      <c r="EI22" s="22">
        <v>21.31</v>
      </c>
      <c r="EJ22" s="22">
        <f t="shared" si="14"/>
        <v>106.17837568510214</v>
      </c>
      <c r="EK22" s="240"/>
      <c r="EL22" s="19">
        <v>3971.93</v>
      </c>
      <c r="EM22" s="19">
        <v>2942.16</v>
      </c>
      <c r="EN22" s="40">
        <f t="shared" si="90"/>
        <v>53133.414915254238</v>
      </c>
      <c r="EO22" s="40">
        <f t="shared" si="91"/>
        <v>53135.409599999992</v>
      </c>
      <c r="EP22" s="40"/>
      <c r="EQ22" s="21">
        <f t="shared" si="92"/>
        <v>99.996246034874346</v>
      </c>
      <c r="ER22" s="21"/>
      <c r="ES22" s="19">
        <f t="shared" si="124"/>
        <v>71733.055799999987</v>
      </c>
      <c r="ET22" s="19"/>
      <c r="EU22" s="19">
        <f t="shared" si="20"/>
        <v>71733.055799999987</v>
      </c>
      <c r="EV22" s="21"/>
      <c r="EW22" s="166"/>
      <c r="EX22" s="39">
        <f t="shared" ref="EX22:EX30" si="148">+BD22*AY22</f>
        <v>74036.775200000004</v>
      </c>
      <c r="EY22" s="39">
        <f t="shared" ref="EY22:EY55" si="149">+EF22*AY22</f>
        <v>71733.055800000002</v>
      </c>
      <c r="EZ22" s="39"/>
      <c r="FA22" s="39"/>
      <c r="FB22" s="39"/>
      <c r="FC22" s="39"/>
      <c r="FD22" s="39"/>
      <c r="FE22" s="166"/>
      <c r="FF22" s="39"/>
      <c r="FG22" s="39"/>
      <c r="FH22" s="39"/>
      <c r="FI22" s="39"/>
      <c r="FJ22" s="19">
        <f t="shared" si="94"/>
        <v>3093.7560406779608</v>
      </c>
      <c r="FK22" s="19"/>
      <c r="FL22" s="19">
        <f t="shared" si="96"/>
        <v>3093.7560406779608</v>
      </c>
      <c r="FM22" s="19">
        <v>3655.72</v>
      </c>
      <c r="FN22" s="19">
        <v>2636.5</v>
      </c>
      <c r="FO22" s="22">
        <v>23.48</v>
      </c>
      <c r="FP22" s="22">
        <v>24.11</v>
      </c>
      <c r="FQ22" s="22">
        <f t="shared" si="125"/>
        <v>102.68313458262351</v>
      </c>
      <c r="FR22" s="22">
        <v>28.18</v>
      </c>
      <c r="FS22" s="22">
        <v>28.94</v>
      </c>
      <c r="FT22" s="22">
        <f t="shared" si="126"/>
        <v>102.69694819020583</v>
      </c>
      <c r="FU22" s="240"/>
      <c r="FV22" s="19"/>
      <c r="FW22" s="19"/>
      <c r="FX22" s="19"/>
      <c r="FY22" s="19"/>
      <c r="FZ22" s="19"/>
      <c r="GA22" s="19"/>
      <c r="GB22" s="19"/>
      <c r="GC22" s="20"/>
      <c r="GD22" s="20"/>
      <c r="GE22" s="19"/>
      <c r="GF22" s="19"/>
      <c r="GG22" s="19"/>
      <c r="GH22" s="95"/>
      <c r="GI22" s="19"/>
      <c r="GJ22" s="21"/>
      <c r="GK22" s="19"/>
      <c r="GL22" s="19"/>
      <c r="GM22" s="19"/>
      <c r="GN22" s="19"/>
      <c r="GO22" s="22">
        <v>24.71</v>
      </c>
      <c r="GP22" s="22">
        <v>25.37</v>
      </c>
      <c r="GQ22" s="22"/>
      <c r="GR22" s="22">
        <v>29.65</v>
      </c>
      <c r="GS22" s="22">
        <v>30.45</v>
      </c>
      <c r="GT22" s="22"/>
      <c r="GU22" s="240"/>
      <c r="GV22" s="19"/>
      <c r="GW22" s="19"/>
      <c r="GX22" s="19"/>
      <c r="GY22" s="19"/>
      <c r="GZ22" s="23"/>
      <c r="HA22" s="22">
        <v>25.37</v>
      </c>
      <c r="HB22" s="22">
        <v>26.1</v>
      </c>
      <c r="HC22" s="22"/>
      <c r="HD22" s="22">
        <v>30.45</v>
      </c>
      <c r="HE22" s="22">
        <v>30.45</v>
      </c>
      <c r="HF22" s="22">
        <f t="shared" si="127"/>
        <v>100</v>
      </c>
      <c r="HG22" s="240"/>
    </row>
    <row r="23" spans="2:215" ht="15.75">
      <c r="B23" s="10"/>
      <c r="C23" s="184" t="s">
        <v>134</v>
      </c>
      <c r="D23" s="76"/>
      <c r="E23" s="73"/>
      <c r="F23" s="74"/>
      <c r="G23" s="74"/>
      <c r="H23" s="74"/>
      <c r="I23" s="73"/>
      <c r="J23" s="75"/>
      <c r="K23" s="75"/>
      <c r="L23" s="75"/>
      <c r="M23" s="76"/>
      <c r="N23" s="75"/>
      <c r="O23" s="74"/>
      <c r="P23" s="74"/>
      <c r="Q23" s="74"/>
      <c r="R23" s="75"/>
      <c r="S23" s="74"/>
      <c r="T23" s="74"/>
      <c r="U23" s="74"/>
      <c r="V23" s="52"/>
      <c r="W23" s="52"/>
      <c r="X23" s="52"/>
      <c r="Y23" s="52"/>
      <c r="Z23" s="22"/>
      <c r="AA23" s="52"/>
      <c r="AB23" s="22"/>
      <c r="AC23" s="52"/>
      <c r="AD23" s="22">
        <v>8.82</v>
      </c>
      <c r="AE23" s="22">
        <v>122.16066481994461</v>
      </c>
      <c r="AF23" s="22">
        <v>8.82</v>
      </c>
      <c r="AG23" s="22">
        <f t="shared" si="128"/>
        <v>100</v>
      </c>
      <c r="AH23" s="22"/>
      <c r="AI23" s="22"/>
      <c r="AJ23" s="52"/>
      <c r="AK23" s="22"/>
      <c r="AL23" s="22"/>
      <c r="AM23" s="22"/>
      <c r="AN23" s="22"/>
      <c r="AO23" s="22"/>
      <c r="AP23" s="22"/>
      <c r="AQ23" s="22"/>
      <c r="AR23" s="22">
        <v>8.52</v>
      </c>
      <c r="AS23" s="22">
        <f t="shared" si="146"/>
        <v>0</v>
      </c>
      <c r="AT23" s="22">
        <v>9.43</v>
      </c>
      <c r="AU23" s="22">
        <f t="shared" si="129"/>
        <v>110.68075117370893</v>
      </c>
      <c r="AV23" s="77"/>
      <c r="AW23" s="77"/>
      <c r="AX23" s="239"/>
      <c r="AY23" s="22">
        <f t="shared" si="4"/>
        <v>95.640000000000029</v>
      </c>
      <c r="AZ23" s="22">
        <f>+[4]БПр!$O$398/1000</f>
        <v>82.510000000000019</v>
      </c>
      <c r="BA23" s="22">
        <f>+[4]БПр!$N$398/1000</f>
        <v>6.26</v>
      </c>
      <c r="BB23" s="22">
        <f>+[4]БПр!$P$398/1000</f>
        <v>6.87</v>
      </c>
      <c r="BC23" s="22">
        <v>8.82</v>
      </c>
      <c r="BD23" s="22">
        <v>8.82</v>
      </c>
      <c r="BE23" s="22">
        <f t="shared" si="1"/>
        <v>100</v>
      </c>
      <c r="BF23" s="22">
        <v>9.43</v>
      </c>
      <c r="BG23" s="22">
        <v>9.83</v>
      </c>
      <c r="BH23" s="22">
        <f t="shared" si="2"/>
        <v>104.24178154825027</v>
      </c>
      <c r="BI23" s="22"/>
      <c r="BJ23" s="240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19"/>
      <c r="CX23" s="19"/>
      <c r="CY23" s="19"/>
      <c r="CZ23" s="19"/>
      <c r="DA23" s="21"/>
      <c r="DB23" s="21"/>
      <c r="DC23" s="79"/>
      <c r="DD23" s="79"/>
      <c r="DE23" s="79"/>
      <c r="DF23" s="79"/>
      <c r="DG23" s="79"/>
      <c r="DH23" s="51"/>
      <c r="DI23" s="39"/>
      <c r="DJ23" s="80"/>
      <c r="DK23" s="39"/>
      <c r="DL23" s="39"/>
      <c r="DM23" s="48"/>
      <c r="DN23" s="39"/>
      <c r="DO23" s="39"/>
      <c r="DP23" s="39"/>
      <c r="DQ23" s="39"/>
      <c r="DR23" s="39"/>
      <c r="DS23" s="39"/>
      <c r="DT23" s="166"/>
      <c r="DU23" s="19">
        <f t="shared" si="89"/>
        <v>659.38076271186458</v>
      </c>
      <c r="DV23" s="40">
        <f t="shared" si="6"/>
        <v>687.35025423728837</v>
      </c>
      <c r="DW23" s="40">
        <f t="shared" si="7"/>
        <v>727.73820000000023</v>
      </c>
      <c r="DX23" s="46"/>
      <c r="DY23" s="21">
        <f t="shared" si="8"/>
        <v>94.45020946231601</v>
      </c>
      <c r="DZ23" s="19">
        <f t="shared" si="9"/>
        <v>0.84354480000000021</v>
      </c>
      <c r="EA23" s="19">
        <f t="shared" si="10"/>
        <v>0.84354480000000021</v>
      </c>
      <c r="EB23" s="19"/>
      <c r="EC23" s="48">
        <f>+(BC23-BF23/1.18)*AZ23</f>
        <v>68.3574372881356</v>
      </c>
      <c r="ED23" s="48">
        <f>+(BD23-BG23/1.18)*AZ23</f>
        <v>40.387945762711858</v>
      </c>
      <c r="EE23" s="22">
        <v>8.2799999999999994</v>
      </c>
      <c r="EF23" s="22">
        <v>8.2799999999999994</v>
      </c>
      <c r="EG23" s="22">
        <f t="shared" si="13"/>
        <v>100</v>
      </c>
      <c r="EH23" s="22">
        <v>9.77</v>
      </c>
      <c r="EI23" s="22">
        <v>9.77</v>
      </c>
      <c r="EJ23" s="22">
        <f t="shared" si="14"/>
        <v>100</v>
      </c>
      <c r="EK23" s="240"/>
      <c r="EL23" s="19">
        <v>95.64</v>
      </c>
      <c r="EM23" s="19">
        <v>82.51</v>
      </c>
      <c r="EN23" s="40">
        <f t="shared" si="90"/>
        <v>683.15483050847467</v>
      </c>
      <c r="EO23" s="40">
        <f t="shared" si="91"/>
        <v>683.18280000000004</v>
      </c>
      <c r="EP23" s="40"/>
      <c r="EQ23" s="21">
        <f t="shared" si="92"/>
        <v>99.995906001801373</v>
      </c>
      <c r="ER23" s="21"/>
      <c r="ES23" s="19">
        <f t="shared" si="124"/>
        <v>791.89919999999995</v>
      </c>
      <c r="ET23" s="19"/>
      <c r="EU23" s="19">
        <f t="shared" si="20"/>
        <v>791.89919999999995</v>
      </c>
      <c r="EV23" s="21"/>
      <c r="EW23" s="166"/>
      <c r="EX23" s="39">
        <f t="shared" si="148"/>
        <v>843.54480000000024</v>
      </c>
      <c r="EY23" s="39">
        <f t="shared" si="149"/>
        <v>791.89920000000018</v>
      </c>
      <c r="EZ23" s="39"/>
      <c r="FA23" s="39"/>
      <c r="FB23" s="39"/>
      <c r="FC23" s="39"/>
      <c r="FD23" s="39"/>
      <c r="FE23" s="166"/>
      <c r="FF23" s="39"/>
      <c r="FG23" s="39"/>
      <c r="FH23" s="39"/>
      <c r="FI23" s="39"/>
      <c r="FJ23" s="19"/>
      <c r="FK23" s="19"/>
      <c r="FL23" s="19">
        <f t="shared" si="96"/>
        <v>0</v>
      </c>
      <c r="FM23" s="19">
        <v>110.06</v>
      </c>
      <c r="FN23" s="19">
        <v>86.98</v>
      </c>
      <c r="FO23" s="22">
        <v>10.86</v>
      </c>
      <c r="FP23" s="22">
        <v>11.15</v>
      </c>
      <c r="FQ23" s="22">
        <f t="shared" si="125"/>
        <v>102.67034990791896</v>
      </c>
      <c r="FR23" s="22">
        <v>13.03</v>
      </c>
      <c r="FS23" s="22">
        <v>13.38</v>
      </c>
      <c r="FT23" s="22">
        <f t="shared" si="126"/>
        <v>102.68610897927859</v>
      </c>
      <c r="FU23" s="240"/>
      <c r="FV23" s="19"/>
      <c r="FW23" s="19"/>
      <c r="FX23" s="19"/>
      <c r="FY23" s="19"/>
      <c r="FZ23" s="19"/>
      <c r="GA23" s="19"/>
      <c r="GB23" s="19"/>
      <c r="GC23" s="20"/>
      <c r="GD23" s="20"/>
      <c r="GE23" s="19"/>
      <c r="GF23" s="19"/>
      <c r="GG23" s="19"/>
      <c r="GH23" s="19"/>
      <c r="GI23" s="19"/>
      <c r="GJ23" s="21"/>
      <c r="GK23" s="19"/>
      <c r="GL23" s="19"/>
      <c r="GM23" s="19"/>
      <c r="GN23" s="19"/>
      <c r="GO23" s="22">
        <v>11.76</v>
      </c>
      <c r="GP23" s="22">
        <v>12.08</v>
      </c>
      <c r="GQ23" s="22"/>
      <c r="GR23" s="22">
        <v>14.11</v>
      </c>
      <c r="GS23" s="22">
        <v>14.5</v>
      </c>
      <c r="GT23" s="22"/>
      <c r="GU23" s="240"/>
      <c r="GV23" s="19"/>
      <c r="GW23" s="19"/>
      <c r="GX23" s="19"/>
      <c r="GY23" s="19"/>
      <c r="GZ23" s="23"/>
      <c r="HA23" s="22">
        <v>12.08</v>
      </c>
      <c r="HB23" s="22">
        <v>12.42</v>
      </c>
      <c r="HC23" s="22"/>
      <c r="HD23" s="22">
        <v>14.5</v>
      </c>
      <c r="HE23" s="22">
        <v>14.5</v>
      </c>
      <c r="HF23" s="22">
        <f t="shared" si="127"/>
        <v>100</v>
      </c>
      <c r="HG23" s="240"/>
    </row>
    <row r="24" spans="2:215" ht="15.75">
      <c r="B24" s="10"/>
      <c r="C24" s="184" t="s">
        <v>135</v>
      </c>
      <c r="D24" s="76"/>
      <c r="E24" s="73"/>
      <c r="F24" s="74"/>
      <c r="G24" s="74"/>
      <c r="H24" s="74"/>
      <c r="I24" s="73"/>
      <c r="J24" s="75"/>
      <c r="K24" s="75"/>
      <c r="L24" s="75"/>
      <c r="M24" s="76"/>
      <c r="N24" s="75"/>
      <c r="O24" s="74"/>
      <c r="P24" s="74"/>
      <c r="Q24" s="74"/>
      <c r="R24" s="75"/>
      <c r="S24" s="74"/>
      <c r="T24" s="74"/>
      <c r="U24" s="74"/>
      <c r="V24" s="52"/>
      <c r="W24" s="52"/>
      <c r="X24" s="52"/>
      <c r="Y24" s="52"/>
      <c r="Z24" s="22"/>
      <c r="AA24" s="52"/>
      <c r="AB24" s="22"/>
      <c r="AC24" s="52"/>
      <c r="AD24" s="22">
        <v>9.82</v>
      </c>
      <c r="AE24" s="22">
        <v>130.41168658698538</v>
      </c>
      <c r="AF24" s="22">
        <v>9.82</v>
      </c>
      <c r="AG24" s="22">
        <f t="shared" si="128"/>
        <v>100</v>
      </c>
      <c r="AH24" s="22"/>
      <c r="AI24" s="22"/>
      <c r="AJ24" s="52"/>
      <c r="AK24" s="22"/>
      <c r="AL24" s="22"/>
      <c r="AM24" s="22"/>
      <c r="AN24" s="22"/>
      <c r="AO24" s="22"/>
      <c r="AP24" s="22"/>
      <c r="AQ24" s="22"/>
      <c r="AR24" s="22">
        <v>8.89</v>
      </c>
      <c r="AS24" s="22">
        <f t="shared" si="146"/>
        <v>0</v>
      </c>
      <c r="AT24" s="22">
        <v>9.8300000000000018</v>
      </c>
      <c r="AU24" s="22">
        <f t="shared" si="129"/>
        <v>110.57367829021373</v>
      </c>
      <c r="AV24" s="77"/>
      <c r="AW24" s="77"/>
      <c r="AX24" s="239"/>
      <c r="AY24" s="22">
        <f t="shared" si="4"/>
        <v>0</v>
      </c>
      <c r="AZ24" s="22"/>
      <c r="BA24" s="22"/>
      <c r="BB24" s="22"/>
      <c r="BC24" s="22"/>
      <c r="BD24" s="22"/>
      <c r="BE24" s="22">
        <f t="shared" si="1"/>
        <v>0</v>
      </c>
      <c r="BF24" s="22"/>
      <c r="BG24" s="22"/>
      <c r="BH24" s="22">
        <f t="shared" si="2"/>
        <v>0</v>
      </c>
      <c r="BI24" s="22"/>
      <c r="BJ24" s="240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19"/>
      <c r="CX24" s="19"/>
      <c r="CY24" s="19"/>
      <c r="CZ24" s="19"/>
      <c r="DA24" s="21"/>
      <c r="DB24" s="21"/>
      <c r="DC24" s="79"/>
      <c r="DD24" s="79"/>
      <c r="DE24" s="79"/>
      <c r="DF24" s="79"/>
      <c r="DG24" s="79"/>
      <c r="DH24" s="51"/>
      <c r="DI24" s="39"/>
      <c r="DJ24" s="80"/>
      <c r="DK24" s="39"/>
      <c r="DL24" s="39"/>
      <c r="DM24" s="48"/>
      <c r="DN24" s="39"/>
      <c r="DO24" s="39"/>
      <c r="DP24" s="39"/>
      <c r="DQ24" s="39"/>
      <c r="DR24" s="39"/>
      <c r="DS24" s="39"/>
      <c r="DT24" s="166"/>
      <c r="DU24" s="19">
        <f t="shared" si="89"/>
        <v>0</v>
      </c>
      <c r="DV24" s="40">
        <f t="shared" si="6"/>
        <v>0</v>
      </c>
      <c r="DW24" s="40">
        <f t="shared" si="7"/>
        <v>0</v>
      </c>
      <c r="DX24" s="46"/>
      <c r="DY24" s="21">
        <f t="shared" si="8"/>
        <v>0</v>
      </c>
      <c r="DZ24" s="19">
        <f t="shared" si="9"/>
        <v>0</v>
      </c>
      <c r="EA24" s="19">
        <f t="shared" si="10"/>
        <v>0</v>
      </c>
      <c r="EB24" s="19"/>
      <c r="EC24" s="48">
        <f t="shared" si="120"/>
        <v>0</v>
      </c>
      <c r="ED24" s="48">
        <f t="shared" si="121"/>
        <v>0</v>
      </c>
      <c r="EE24" s="22">
        <v>9.7799999999999994</v>
      </c>
      <c r="EF24" s="22">
        <v>9.7799999999999994</v>
      </c>
      <c r="EG24" s="22">
        <f t="shared" si="13"/>
        <v>100</v>
      </c>
      <c r="EH24" s="22"/>
      <c r="EI24" s="22"/>
      <c r="EJ24" s="22">
        <f t="shared" si="14"/>
        <v>0</v>
      </c>
      <c r="EK24" s="240"/>
      <c r="EL24" s="19">
        <v>8.84</v>
      </c>
      <c r="EM24" s="19"/>
      <c r="EN24" s="40">
        <f t="shared" si="90"/>
        <v>0</v>
      </c>
      <c r="EO24" s="40">
        <f t="shared" si="91"/>
        <v>0</v>
      </c>
      <c r="EP24" s="40"/>
      <c r="EQ24" s="21">
        <f t="shared" si="92"/>
        <v>0</v>
      </c>
      <c r="ER24" s="21"/>
      <c r="ES24" s="19">
        <f t="shared" si="124"/>
        <v>86.455199999999991</v>
      </c>
      <c r="ET24" s="19"/>
      <c r="EU24" s="19">
        <f t="shared" si="20"/>
        <v>86.455199999999991</v>
      </c>
      <c r="EV24" s="21"/>
      <c r="EW24" s="166"/>
      <c r="EX24" s="39">
        <f t="shared" si="148"/>
        <v>0</v>
      </c>
      <c r="EY24" s="39">
        <f t="shared" si="149"/>
        <v>0</v>
      </c>
      <c r="EZ24" s="39"/>
      <c r="FA24" s="39"/>
      <c r="FB24" s="39"/>
      <c r="FC24" s="39"/>
      <c r="FD24" s="39"/>
      <c r="FE24" s="166"/>
      <c r="FF24" s="39"/>
      <c r="FG24" s="39"/>
      <c r="FH24" s="39"/>
      <c r="FI24" s="39"/>
      <c r="FJ24" s="19">
        <f t="shared" si="94"/>
        <v>0</v>
      </c>
      <c r="FK24" s="19">
        <f t="shared" si="95"/>
        <v>0</v>
      </c>
      <c r="FL24" s="19">
        <f t="shared" si="96"/>
        <v>0</v>
      </c>
      <c r="FM24" s="19">
        <v>7.25</v>
      </c>
      <c r="FN24" s="19"/>
      <c r="FO24" s="22">
        <v>12.62</v>
      </c>
      <c r="FP24" s="22">
        <v>12.96</v>
      </c>
      <c r="FQ24" s="22">
        <f t="shared" si="125"/>
        <v>102.69413629160064</v>
      </c>
      <c r="FR24" s="22" t="s">
        <v>633</v>
      </c>
      <c r="FS24" s="22" t="s">
        <v>633</v>
      </c>
      <c r="FT24" s="22" t="e">
        <f t="shared" si="126"/>
        <v>#VALUE!</v>
      </c>
      <c r="FU24" s="240"/>
      <c r="FV24" s="19"/>
      <c r="FW24" s="19"/>
      <c r="FX24" s="19"/>
      <c r="FY24" s="19"/>
      <c r="FZ24" s="19"/>
      <c r="GA24" s="19"/>
      <c r="GB24" s="19"/>
      <c r="GC24" s="20"/>
      <c r="GD24" s="20"/>
      <c r="GE24" s="19"/>
      <c r="GF24" s="19"/>
      <c r="GG24" s="19"/>
      <c r="GH24" s="19"/>
      <c r="GI24" s="19"/>
      <c r="GJ24" s="21"/>
      <c r="GK24" s="19"/>
      <c r="GL24" s="19"/>
      <c r="GM24" s="19"/>
      <c r="GN24" s="19"/>
      <c r="GO24" s="22">
        <v>12.94</v>
      </c>
      <c r="GP24" s="22">
        <v>13.29</v>
      </c>
      <c r="GQ24" s="22"/>
      <c r="GR24" s="22" t="s">
        <v>633</v>
      </c>
      <c r="GS24" s="22" t="s">
        <v>633</v>
      </c>
      <c r="GT24" s="22"/>
      <c r="GU24" s="240"/>
      <c r="GV24" s="19"/>
      <c r="GW24" s="19"/>
      <c r="GX24" s="19"/>
      <c r="GY24" s="19"/>
      <c r="GZ24" s="23"/>
      <c r="HA24" s="22">
        <v>13.29</v>
      </c>
      <c r="HB24" s="22">
        <v>13.67</v>
      </c>
      <c r="HC24" s="22"/>
      <c r="HD24" s="22" t="s">
        <v>633</v>
      </c>
      <c r="HE24" s="22" t="s">
        <v>633</v>
      </c>
      <c r="HF24" s="22" t="e">
        <f t="shared" si="127"/>
        <v>#VALUE!</v>
      </c>
      <c r="HG24" s="240"/>
    </row>
    <row r="25" spans="2:215" ht="15.75">
      <c r="B25" s="10" t="s">
        <v>165</v>
      </c>
      <c r="C25" s="81" t="s">
        <v>166</v>
      </c>
      <c r="D25" s="76">
        <f t="shared" ref="D25:D30" si="150">+E25+I25</f>
        <v>0</v>
      </c>
      <c r="E25" s="73"/>
      <c r="F25" s="75"/>
      <c r="G25" s="75"/>
      <c r="H25" s="75"/>
      <c r="I25" s="73"/>
      <c r="J25" s="73"/>
      <c r="K25" s="73"/>
      <c r="L25" s="73"/>
      <c r="M25" s="76">
        <f>+N25+R25</f>
        <v>0</v>
      </c>
      <c r="N25" s="73">
        <f t="shared" ref="N25:N30" si="151">+E25</f>
        <v>0</v>
      </c>
      <c r="O25" s="73"/>
      <c r="P25" s="73"/>
      <c r="Q25" s="73"/>
      <c r="R25" s="73">
        <f t="shared" ref="R25:R30" si="152">+I25</f>
        <v>0</v>
      </c>
      <c r="S25" s="73"/>
      <c r="T25" s="73"/>
      <c r="U25" s="73"/>
      <c r="V25" s="52"/>
      <c r="W25" s="52"/>
      <c r="X25" s="52">
        <f t="shared" ref="X25:X30" si="153">+IF(V25=0,,W25/V25*100)</f>
        <v>0</v>
      </c>
      <c r="Y25" s="52"/>
      <c r="Z25" s="22">
        <f t="shared" ref="Z25:Z30" si="154">+IF(W25=0,,Y25/W25*100)</f>
        <v>0</v>
      </c>
      <c r="AA25" s="52"/>
      <c r="AB25" s="22">
        <f t="shared" ref="AB25:AB30" si="155">+IF(Y25=0,,AA25/Y25*100)</f>
        <v>0</v>
      </c>
      <c r="AC25" s="22"/>
      <c r="AD25" s="22"/>
      <c r="AE25" s="22">
        <f t="shared" ref="AE25:AE30" si="156">+IF(AC25=0,,AF25/AC25*100)</f>
        <v>0</v>
      </c>
      <c r="AF25" s="22"/>
      <c r="AG25" s="22">
        <f t="shared" si="128"/>
        <v>0</v>
      </c>
      <c r="AH25" s="22">
        <v>0</v>
      </c>
      <c r="AI25" s="22">
        <v>0</v>
      </c>
      <c r="AJ25" s="52">
        <f t="shared" ref="AJ25:AJ30" si="157">+IF(AH25=0,,AI25/AH25*100)</f>
        <v>0</v>
      </c>
      <c r="AK25" s="22">
        <v>0</v>
      </c>
      <c r="AL25" s="22">
        <f t="shared" ref="AL25:AL30" si="158">+IF(AI25=0,,AK25/AI25*100)</f>
        <v>0</v>
      </c>
      <c r="AM25" s="22">
        <v>0</v>
      </c>
      <c r="AN25" s="22">
        <f t="shared" ref="AN25:AN30" si="159">+IF(AK25=0,,AM25/AK25*100)</f>
        <v>0</v>
      </c>
      <c r="AO25" s="22">
        <f t="shared" ref="AO25:AO30" si="160">+IF(V25=0,,AA25/V25*100)</f>
        <v>0</v>
      </c>
      <c r="AP25" s="22">
        <f t="shared" ref="AP25:AP30" si="161">+IF(AH25=0,,AM25/AH25*100)</f>
        <v>0</v>
      </c>
      <c r="AQ25" s="22"/>
      <c r="AR25" s="22"/>
      <c r="AS25" s="22">
        <f t="shared" si="146"/>
        <v>0</v>
      </c>
      <c r="AT25" s="22"/>
      <c r="AU25" s="22">
        <f t="shared" si="129"/>
        <v>0</v>
      </c>
      <c r="AV25" s="77"/>
      <c r="AW25" s="77">
        <f t="shared" ref="AW25:AW30" si="162">+CY25/$CY$15*100</f>
        <v>0</v>
      </c>
      <c r="AX25" s="78"/>
      <c r="AY25" s="22">
        <f t="shared" si="4"/>
        <v>0</v>
      </c>
      <c r="AZ25" s="22"/>
      <c r="BA25" s="22"/>
      <c r="BB25" s="22"/>
      <c r="BC25" s="22"/>
      <c r="BD25" s="22"/>
      <c r="BE25" s="22">
        <f t="shared" si="1"/>
        <v>0</v>
      </c>
      <c r="BF25" s="22"/>
      <c r="BG25" s="22"/>
      <c r="BH25" s="22">
        <f t="shared" si="2"/>
        <v>0</v>
      </c>
      <c r="BI25" s="22"/>
      <c r="BJ25" s="40"/>
      <c r="BK25" s="19">
        <f t="shared" si="38"/>
        <v>0</v>
      </c>
      <c r="BL25" s="19">
        <f t="shared" ref="BL25:BL30" si="163">+E25*AI25/1.18/1000</f>
        <v>0</v>
      </c>
      <c r="BM25" s="19">
        <f t="shared" ref="BM25:BM30" si="164">+(W25-ROUND(AI25/1.18,2))*E25/1000</f>
        <v>0</v>
      </c>
      <c r="BN25" s="19">
        <f t="shared" ref="BN25:BN30" si="165">+W25*I25/1000</f>
        <v>0</v>
      </c>
      <c r="BO25" s="19">
        <f t="shared" si="42"/>
        <v>0</v>
      </c>
      <c r="BP25" s="19">
        <f t="shared" ref="BP25:BP30" si="166">+AK25/1.18*E25/1000</f>
        <v>0</v>
      </c>
      <c r="BQ25" s="19">
        <f t="shared" ref="BQ25:BQ30" si="167">+(Y25-ROUND(AK25/1.18,2))*E25/1000</f>
        <v>0</v>
      </c>
      <c r="BR25" s="19">
        <f t="shared" ref="BR25:BR30" si="168">+Y25*I25/1000</f>
        <v>0</v>
      </c>
      <c r="BS25" s="19">
        <f t="shared" si="46"/>
        <v>0</v>
      </c>
      <c r="BT25" s="19">
        <f t="shared" ref="BT25:BT30" si="169">+AM25/1.18*E25/1000</f>
        <v>0</v>
      </c>
      <c r="BU25" s="19">
        <f t="shared" ref="BU25:BU30" si="170">+(AA25-ROUND(AM25/1.18,2))*E25/1000</f>
        <v>0</v>
      </c>
      <c r="BV25" s="19">
        <f t="shared" ref="BV25:BV30" si="171">+AA25*I25/1000</f>
        <v>0</v>
      </c>
      <c r="BW25" s="19">
        <f t="shared" ref="BW25:BW55" si="172">+BX25+BY25+BZ25</f>
        <v>0</v>
      </c>
      <c r="BX25" s="19">
        <f t="shared" ref="BX25:BX30" si="173">+((AQ25/1.18*N25/1000)+(AR25/1.18*N25/1000))/2</f>
        <v>0</v>
      </c>
      <c r="BY25" s="19">
        <f t="shared" ref="BY25:BY30" si="174">+((AC25-ROUND(AQ25/1.18,2))*N25/1000+(AD25-ROUND(AR25/1.18,2))*N25/1000)/2</f>
        <v>0</v>
      </c>
      <c r="BZ25" s="19">
        <f t="shared" ref="BZ25:BZ30" si="175">+((AC25*R25/1000)+(R25*AD25/1000))/2</f>
        <v>0</v>
      </c>
      <c r="CA25" s="19">
        <f t="shared" si="54"/>
        <v>0</v>
      </c>
      <c r="CB25" s="19">
        <f t="shared" ref="CB25:CB30" si="176">+AT25/1.18*N25/1000</f>
        <v>0</v>
      </c>
      <c r="CC25" s="19">
        <f t="shared" ref="CC25:CC30" si="177">+(AF25-ROUND(AT25/1.18,2))*N25/1000</f>
        <v>0</v>
      </c>
      <c r="CD25" s="19">
        <f t="shared" ref="CD25:CD30" si="178">+AF25*R25/1000</f>
        <v>0</v>
      </c>
      <c r="CE25" s="48">
        <f t="shared" ref="CE25:CE30" si="179">+IF(R25=0,,BN25/R25*1000)</f>
        <v>0</v>
      </c>
      <c r="CF25" s="48">
        <f t="shared" ref="CF25:CF30" si="180">+IF(I25=0,,BR25/I25*1000)</f>
        <v>0</v>
      </c>
      <c r="CG25" s="48">
        <f t="shared" ref="CG25:CG30" si="181">+IF(I25=0,,BV25/I25*1000)</f>
        <v>0</v>
      </c>
      <c r="CH25" s="48">
        <f t="shared" ref="CH25:CH30" si="182">+IF(E25=0,,BL25/E25*1000*1.18)</f>
        <v>0</v>
      </c>
      <c r="CI25" s="48">
        <f t="shared" ref="CI25:CI30" si="183">+IF(E25=0,,BP25/E25*1.18*1000)</f>
        <v>0</v>
      </c>
      <c r="CJ25" s="48">
        <f t="shared" ref="CJ25:CJ30" si="184">+IF(E25=0,,BT25/E25*1.18*1000)</f>
        <v>0</v>
      </c>
      <c r="CK25" s="48">
        <f t="shared" ref="CK25:CK30" si="185">+IF(D25=0,,BK25/D25*1000)</f>
        <v>0</v>
      </c>
      <c r="CL25" s="48">
        <f t="shared" ref="CL25:CL30" si="186">+IF(D25=0,,BO25/D25*1000)</f>
        <v>0</v>
      </c>
      <c r="CM25" s="48">
        <f t="shared" ref="CM25:CM30" si="187">+IF(D25=0,,BS25/D25*1000)</f>
        <v>0</v>
      </c>
      <c r="CN25" s="48">
        <f t="shared" ref="CN25:CN30" si="188">+IF((D25+D25+D25)=0,,(BK25+BO25+BS25)/(D25+D25+D25))*1000</f>
        <v>0</v>
      </c>
      <c r="CO25" s="48">
        <f t="shared" ref="CO25:CO30" si="189">+IF(R25=0,,BZ25/R25*1000)</f>
        <v>0</v>
      </c>
      <c r="CP25" s="48">
        <f t="shared" ref="CP25:CP30" si="190">+IF(R25=0,,CD25/R25*1000)</f>
        <v>0</v>
      </c>
      <c r="CQ25" s="48">
        <f t="shared" ref="CQ25:CQ30" si="191">+IF(N25=0,,BX25/N25*1.18*1000)</f>
        <v>0</v>
      </c>
      <c r="CR25" s="48">
        <f t="shared" ref="CR25:CR30" si="192">+IF(N25=0,,CB25/N25*1.18*1000)</f>
        <v>0</v>
      </c>
      <c r="CS25" s="48">
        <f t="shared" ref="CS25:CS30" si="193">+IF(M25=0,,BW25/M25*1000)</f>
        <v>0</v>
      </c>
      <c r="CT25" s="48">
        <f t="shared" ref="CT25:CT30" si="194">+IF(M25=0,,CA25/M25*1000)</f>
        <v>0</v>
      </c>
      <c r="CU25" s="48">
        <f t="shared" ref="CU25:CU30" si="195">+IF((M25+M25)=0,,(CA25+BW25)/(M25+M25))*1000</f>
        <v>0</v>
      </c>
      <c r="CV25" s="48">
        <f t="shared" si="75"/>
        <v>0</v>
      </c>
      <c r="CW25" s="19">
        <f t="shared" ref="CW25:CW30" si="196">+((AI25*F25)/1.18+(G25*AK25)/1.18+(H25*AM25)/1.18)/1000</f>
        <v>0</v>
      </c>
      <c r="CX25" s="19">
        <f t="shared" ref="CX25:CX30" si="197">+((W25*F25)+(Y25*G25)+(AA25*H25))/1000</f>
        <v>0</v>
      </c>
      <c r="CY25" s="19">
        <f t="shared" ref="CY25:CY30" si="198">+((AQ25*O25)/1.18+(Q25*AT25)/1.18+(AR25*P25)/1.18)/1000</f>
        <v>0</v>
      </c>
      <c r="CZ25" s="19">
        <f t="shared" ref="CZ25:CZ30" si="199">+((AC25*O25)+(AF25*Q25)+(AD25*P25))/1000</f>
        <v>0</v>
      </c>
      <c r="DA25" s="21">
        <f t="shared" si="80"/>
        <v>0</v>
      </c>
      <c r="DB25" s="21">
        <f t="shared" si="81"/>
        <v>0</v>
      </c>
      <c r="DC25" s="79">
        <f t="shared" si="5"/>
        <v>0</v>
      </c>
      <c r="DD25" s="79">
        <f t="shared" si="5"/>
        <v>0</v>
      </c>
      <c r="DE25" s="79">
        <f t="shared" ref="DE25:DF30" si="200">+(O25+S25)*AC25/1000</f>
        <v>0</v>
      </c>
      <c r="DF25" s="79">
        <f t="shared" si="200"/>
        <v>0</v>
      </c>
      <c r="DG25" s="79">
        <f t="shared" ref="DG25:DG30" si="201">+AF25*(Q25+U25)/1000</f>
        <v>0</v>
      </c>
      <c r="DH25" s="51">
        <f t="shared" si="85"/>
        <v>0</v>
      </c>
      <c r="DI25" s="39"/>
      <c r="DJ25" s="80">
        <f t="shared" ref="DJ25:DJ30" si="202">+(F25+J25)*W25/1000</f>
        <v>0</v>
      </c>
      <c r="DK25" s="39">
        <f t="shared" ref="DK25:DK30" si="203">+Y25*(G25+K25)/1000</f>
        <v>0</v>
      </c>
      <c r="DL25" s="39">
        <f t="shared" ref="DL25:DL30" si="204">+(H25+L25)*AA25/1000</f>
        <v>0</v>
      </c>
      <c r="DM25" s="48">
        <f>+AT25-'[2]тарифы (12-13) население 15%'!AP42</f>
        <v>0</v>
      </c>
      <c r="DN25" s="39"/>
      <c r="DO25" s="39"/>
      <c r="DP25" s="39"/>
      <c r="DQ25" s="39"/>
      <c r="DR25" s="39"/>
      <c r="DS25" s="39"/>
      <c r="DT25" s="39"/>
      <c r="DU25" s="19">
        <f t="shared" si="89"/>
        <v>0</v>
      </c>
      <c r="DV25" s="40">
        <f t="shared" si="6"/>
        <v>0</v>
      </c>
      <c r="DW25" s="40">
        <f t="shared" si="7"/>
        <v>0</v>
      </c>
      <c r="DX25" s="46"/>
      <c r="DY25" s="21">
        <f t="shared" si="8"/>
        <v>0</v>
      </c>
      <c r="DZ25" s="19">
        <f t="shared" si="9"/>
        <v>0</v>
      </c>
      <c r="EA25" s="19">
        <f t="shared" si="10"/>
        <v>0</v>
      </c>
      <c r="EB25" s="19"/>
      <c r="EC25" s="48">
        <f t="shared" si="120"/>
        <v>0</v>
      </c>
      <c r="ED25" s="48">
        <f t="shared" si="121"/>
        <v>0</v>
      </c>
      <c r="EE25" s="22"/>
      <c r="EF25" s="22"/>
      <c r="EG25" s="22">
        <f t="shared" si="13"/>
        <v>0</v>
      </c>
      <c r="EH25" s="22"/>
      <c r="EI25" s="22"/>
      <c r="EJ25" s="22">
        <f t="shared" si="14"/>
        <v>0</v>
      </c>
      <c r="EK25" s="40"/>
      <c r="EL25" s="19"/>
      <c r="EM25" s="19"/>
      <c r="EN25" s="40">
        <f t="shared" si="90"/>
        <v>0</v>
      </c>
      <c r="EO25" s="40">
        <f t="shared" si="91"/>
        <v>0</v>
      </c>
      <c r="EP25" s="40"/>
      <c r="EQ25" s="21">
        <f t="shared" si="92"/>
        <v>0</v>
      </c>
      <c r="ER25" s="21"/>
      <c r="ES25" s="19">
        <f t="shared" si="124"/>
        <v>0</v>
      </c>
      <c r="ET25" s="19"/>
      <c r="EU25" s="19">
        <f t="shared" si="20"/>
        <v>0</v>
      </c>
      <c r="EV25" s="21"/>
      <c r="EW25" s="166"/>
      <c r="EX25" s="39">
        <f t="shared" si="148"/>
        <v>0</v>
      </c>
      <c r="EY25" s="39">
        <f t="shared" si="149"/>
        <v>0</v>
      </c>
      <c r="EZ25" s="39"/>
      <c r="FA25" s="39"/>
      <c r="FB25" s="39"/>
      <c r="FC25" s="39"/>
      <c r="FD25" s="39"/>
      <c r="FE25" s="166"/>
      <c r="FF25" s="39"/>
      <c r="FG25" s="39"/>
      <c r="FH25" s="39"/>
      <c r="FI25" s="39"/>
      <c r="FJ25" s="19">
        <f t="shared" si="94"/>
        <v>0</v>
      </c>
      <c r="FK25" s="19">
        <f t="shared" si="95"/>
        <v>0</v>
      </c>
      <c r="FL25" s="19">
        <f t="shared" si="96"/>
        <v>0</v>
      </c>
      <c r="FM25" s="19"/>
      <c r="FN25" s="19"/>
      <c r="FO25" s="22">
        <f t="shared" si="15"/>
        <v>0</v>
      </c>
      <c r="FP25" s="22">
        <f t="shared" ref="FP25:FP29" si="205">+FO25*1.075</f>
        <v>0</v>
      </c>
      <c r="FQ25" s="22">
        <f t="shared" si="125"/>
        <v>0</v>
      </c>
      <c r="FR25" s="22">
        <f t="shared" si="98"/>
        <v>0</v>
      </c>
      <c r="FS25" s="22">
        <f t="shared" ref="FS25:FS29" si="206">+FP25*1.18</f>
        <v>0</v>
      </c>
      <c r="FT25" s="22">
        <f t="shared" si="126"/>
        <v>0</v>
      </c>
      <c r="FU25" s="40"/>
      <c r="FV25" s="19"/>
      <c r="FW25" s="19"/>
      <c r="FX25" s="19"/>
      <c r="FY25" s="19"/>
      <c r="FZ25" s="19"/>
      <c r="GA25" s="19"/>
      <c r="GB25" s="19"/>
      <c r="GC25" s="20"/>
      <c r="GD25" s="20"/>
      <c r="GE25" s="19"/>
      <c r="GF25" s="19"/>
      <c r="GG25" s="19"/>
      <c r="GH25" s="19"/>
      <c r="GI25" s="19"/>
      <c r="GJ25" s="21"/>
      <c r="GK25" s="19"/>
      <c r="GL25" s="19"/>
      <c r="GM25" s="19"/>
      <c r="GN25" s="19"/>
      <c r="GO25" s="22"/>
      <c r="GP25" s="22"/>
      <c r="GQ25" s="22"/>
      <c r="GR25" s="22"/>
      <c r="GS25" s="22"/>
      <c r="GT25" s="22"/>
      <c r="GU25" s="43"/>
      <c r="GV25" s="19"/>
      <c r="GW25" s="19"/>
      <c r="GX25" s="19"/>
      <c r="GY25" s="19"/>
      <c r="GZ25" s="23"/>
      <c r="HA25" s="22"/>
      <c r="HB25" s="22"/>
      <c r="HC25" s="22"/>
      <c r="HD25" s="22"/>
      <c r="HE25" s="22"/>
      <c r="HF25" s="22"/>
      <c r="HG25" s="233"/>
    </row>
    <row r="26" spans="2:215" ht="15.75">
      <c r="B26" s="10"/>
      <c r="C26" s="161" t="s">
        <v>153</v>
      </c>
      <c r="D26" s="76">
        <f t="shared" si="150"/>
        <v>6267</v>
      </c>
      <c r="E26" s="73">
        <f>+'[2]2012(объемы годовые)'!M37</f>
        <v>1787</v>
      </c>
      <c r="F26" s="75">
        <f>+E26*$F$3</f>
        <v>987.49619999999993</v>
      </c>
      <c r="G26" s="75">
        <f>+E26*$G$3</f>
        <v>266.44170000000003</v>
      </c>
      <c r="H26" s="75">
        <f>+E26*$H$3</f>
        <v>533.06209999999999</v>
      </c>
      <c r="I26" s="73">
        <f>+'[2]2012(объемы годовые)'!U37</f>
        <v>4480</v>
      </c>
      <c r="J26" s="75">
        <f>+I26*$J$3</f>
        <v>2475.6480000000001</v>
      </c>
      <c r="K26" s="75">
        <f>+I26*$K$3</f>
        <v>667.96800000000007</v>
      </c>
      <c r="L26" s="75">
        <f>+I26*$L$3</f>
        <v>1336.384</v>
      </c>
      <c r="M26" s="76">
        <f>+'[5]тарифы (НВВ) население на 12%'!$M$46</f>
        <v>6267</v>
      </c>
      <c r="N26" s="73">
        <f t="shared" si="151"/>
        <v>1787</v>
      </c>
      <c r="O26" s="74">
        <v>1053.6152</v>
      </c>
      <c r="P26" s="74"/>
      <c r="Q26" s="74">
        <v>733.38479999999993</v>
      </c>
      <c r="R26" s="73">
        <f t="shared" si="152"/>
        <v>4480</v>
      </c>
      <c r="S26" s="74">
        <v>2641.4079999999999</v>
      </c>
      <c r="T26" s="74"/>
      <c r="U26" s="74">
        <v>1838.5919999999999</v>
      </c>
      <c r="V26" s="52">
        <v>771.4</v>
      </c>
      <c r="W26" s="52">
        <v>771.4</v>
      </c>
      <c r="X26" s="52">
        <f t="shared" si="153"/>
        <v>100</v>
      </c>
      <c r="Y26" s="52">
        <v>816.91</v>
      </c>
      <c r="Z26" s="22">
        <f t="shared" si="154"/>
        <v>105.89966295047965</v>
      </c>
      <c r="AA26" s="52">
        <v>856.12</v>
      </c>
      <c r="AB26" s="22">
        <f t="shared" si="155"/>
        <v>104.7997943469905</v>
      </c>
      <c r="AC26" s="52">
        <v>856.12</v>
      </c>
      <c r="AD26" s="52">
        <v>856.12</v>
      </c>
      <c r="AE26" s="22">
        <f t="shared" si="156"/>
        <v>111.58949679951408</v>
      </c>
      <c r="AF26" s="22">
        <v>955.34</v>
      </c>
      <c r="AG26" s="22">
        <f t="shared" si="128"/>
        <v>111.58949679951408</v>
      </c>
      <c r="AH26" s="22">
        <v>910.25</v>
      </c>
      <c r="AI26" s="22">
        <v>910.25</v>
      </c>
      <c r="AJ26" s="52">
        <f t="shared" si="157"/>
        <v>100</v>
      </c>
      <c r="AK26" s="22">
        <v>963.95</v>
      </c>
      <c r="AL26" s="22">
        <f t="shared" si="158"/>
        <v>105.8994781653392</v>
      </c>
      <c r="AM26" s="22">
        <v>1010.22</v>
      </c>
      <c r="AN26" s="22">
        <f t="shared" si="159"/>
        <v>104.80004149592821</v>
      </c>
      <c r="AO26" s="22">
        <f t="shared" si="160"/>
        <v>110.98262898625875</v>
      </c>
      <c r="AP26" s="22">
        <f t="shared" si="161"/>
        <v>110.98269706124691</v>
      </c>
      <c r="AQ26" s="22">
        <v>1010.22</v>
      </c>
      <c r="AR26" s="22">
        <v>1010.22</v>
      </c>
      <c r="AS26" s="22">
        <f t="shared" si="146"/>
        <v>111.58955475045038</v>
      </c>
      <c r="AT26" s="22">
        <v>1127.3</v>
      </c>
      <c r="AU26" s="22">
        <f t="shared" si="129"/>
        <v>111.58955475045038</v>
      </c>
      <c r="AV26" s="77"/>
      <c r="AW26" s="77">
        <f t="shared" si="162"/>
        <v>3.9391885542125729</v>
      </c>
      <c r="AX26" s="78" t="s">
        <v>167</v>
      </c>
      <c r="AY26" s="22">
        <f t="shared" si="4"/>
        <v>6.2670000000000003</v>
      </c>
      <c r="AZ26" s="22">
        <f>+[6]БПр!$DH$162/1000</f>
        <v>1.7869999999999999</v>
      </c>
      <c r="BA26" s="22">
        <f>+[6]БПр!$DG$162/1000</f>
        <v>0</v>
      </c>
      <c r="BB26" s="22">
        <f>+[6]БПр!$DI$162/1000</f>
        <v>4.4800000000000004</v>
      </c>
      <c r="BC26" s="22">
        <v>948.77</v>
      </c>
      <c r="BD26" s="22">
        <v>968.87</v>
      </c>
      <c r="BE26" s="22">
        <f t="shared" si="1"/>
        <v>102.11853241565396</v>
      </c>
      <c r="BF26" s="22">
        <v>1119.55</v>
      </c>
      <c r="BG26" s="22">
        <v>1143.26</v>
      </c>
      <c r="BH26" s="22">
        <f t="shared" si="2"/>
        <v>102.11781519360457</v>
      </c>
      <c r="BI26" s="22">
        <f>+BD26-BG26/1.18</f>
        <v>5.593220338937499E-3</v>
      </c>
      <c r="BJ26" s="40" t="s">
        <v>168</v>
      </c>
      <c r="BK26" s="19">
        <f t="shared" si="38"/>
        <v>4834.3607711864406</v>
      </c>
      <c r="BL26" s="19">
        <f t="shared" si="163"/>
        <v>1378.4887711864408</v>
      </c>
      <c r="BM26" s="19">
        <f t="shared" si="164"/>
        <v>0</v>
      </c>
      <c r="BN26" s="19">
        <f t="shared" si="165"/>
        <v>3455.8719999999998</v>
      </c>
      <c r="BO26" s="19">
        <f t="shared" si="42"/>
        <v>5119.569215254237</v>
      </c>
      <c r="BP26" s="19">
        <f t="shared" si="166"/>
        <v>1459.8124152542373</v>
      </c>
      <c r="BQ26" s="19">
        <f t="shared" si="167"/>
        <v>0</v>
      </c>
      <c r="BR26" s="19">
        <f t="shared" si="168"/>
        <v>3659.7567999999997</v>
      </c>
      <c r="BS26" s="19">
        <f t="shared" si="46"/>
        <v>5365.301616949153</v>
      </c>
      <c r="BT26" s="19">
        <f t="shared" si="169"/>
        <v>1529.8840169491527</v>
      </c>
      <c r="BU26" s="19">
        <f t="shared" si="170"/>
        <v>0</v>
      </c>
      <c r="BV26" s="19">
        <f t="shared" si="171"/>
        <v>3835.4176000000002</v>
      </c>
      <c r="BW26" s="19">
        <f t="shared" si="172"/>
        <v>5365.301616949153</v>
      </c>
      <c r="BX26" s="19">
        <f t="shared" si="173"/>
        <v>1529.8840169491527</v>
      </c>
      <c r="BY26" s="19">
        <f t="shared" si="174"/>
        <v>0</v>
      </c>
      <c r="BZ26" s="19">
        <f t="shared" si="175"/>
        <v>3835.4176000000002</v>
      </c>
      <c r="CA26" s="19">
        <f t="shared" si="54"/>
        <v>5987.1139627118646</v>
      </c>
      <c r="CB26" s="19">
        <f t="shared" si="176"/>
        <v>1707.1907627118644</v>
      </c>
      <c r="CC26" s="19">
        <f t="shared" si="177"/>
        <v>0</v>
      </c>
      <c r="CD26" s="19">
        <f t="shared" si="178"/>
        <v>4279.9232000000002</v>
      </c>
      <c r="CE26" s="48">
        <f t="shared" si="179"/>
        <v>771.4</v>
      </c>
      <c r="CF26" s="48">
        <f t="shared" si="180"/>
        <v>816.91</v>
      </c>
      <c r="CG26" s="48">
        <f t="shared" si="181"/>
        <v>856.12000000000012</v>
      </c>
      <c r="CH26" s="48">
        <f t="shared" si="182"/>
        <v>910.25000000000011</v>
      </c>
      <c r="CI26" s="48">
        <f t="shared" si="183"/>
        <v>963.94999999999993</v>
      </c>
      <c r="CJ26" s="48">
        <f t="shared" si="184"/>
        <v>1010.2200000000001</v>
      </c>
      <c r="CK26" s="48">
        <f t="shared" si="185"/>
        <v>771.3995167043945</v>
      </c>
      <c r="CL26" s="48">
        <f t="shared" si="186"/>
        <v>816.90908173834964</v>
      </c>
      <c r="CM26" s="48">
        <f t="shared" si="187"/>
        <v>856.11961336351567</v>
      </c>
      <c r="CN26" s="48">
        <f t="shared" si="188"/>
        <v>814.80940393542005</v>
      </c>
      <c r="CO26" s="48">
        <f t="shared" si="189"/>
        <v>856.12000000000012</v>
      </c>
      <c r="CP26" s="48">
        <f t="shared" si="190"/>
        <v>955.34</v>
      </c>
      <c r="CQ26" s="48">
        <f t="shared" si="191"/>
        <v>1010.2200000000001</v>
      </c>
      <c r="CR26" s="48">
        <f t="shared" si="192"/>
        <v>1127.3</v>
      </c>
      <c r="CS26" s="48">
        <f t="shared" si="193"/>
        <v>856.11961336351567</v>
      </c>
      <c r="CT26" s="48">
        <f t="shared" si="194"/>
        <v>955.33971002263672</v>
      </c>
      <c r="CU26" s="48">
        <f t="shared" si="195"/>
        <v>905.7296616930762</v>
      </c>
      <c r="CV26" s="48">
        <f t="shared" si="75"/>
        <v>111.15846936946522</v>
      </c>
      <c r="CW26" s="19">
        <f t="shared" si="196"/>
        <v>1435.775328327966</v>
      </c>
      <c r="CX26" s="19">
        <f t="shared" si="197"/>
        <v>1435.7785828789999</v>
      </c>
      <c r="CY26" s="19">
        <f t="shared" si="198"/>
        <v>1602.6507054101694</v>
      </c>
      <c r="CZ26" s="19">
        <f t="shared" si="199"/>
        <v>1602.652879856</v>
      </c>
      <c r="DA26" s="21">
        <f t="shared" si="80"/>
        <v>99.999773325004796</v>
      </c>
      <c r="DB26" s="21">
        <f t="shared" si="81"/>
        <v>99.999864322096315</v>
      </c>
      <c r="DC26" s="79">
        <f t="shared" si="5"/>
        <v>111.62266642905323</v>
      </c>
      <c r="DD26" s="79">
        <f t="shared" si="5"/>
        <v>111.62256485553547</v>
      </c>
      <c r="DE26" s="79">
        <f t="shared" si="200"/>
        <v>3163.3832619839995</v>
      </c>
      <c r="DF26" s="79">
        <f t="shared" si="200"/>
        <v>0</v>
      </c>
      <c r="DG26" s="79">
        <f t="shared" si="201"/>
        <v>2457.1123161119999</v>
      </c>
      <c r="DH26" s="51">
        <f t="shared" si="85"/>
        <v>5620.495578095999</v>
      </c>
      <c r="DI26" s="39"/>
      <c r="DJ26" s="80">
        <f t="shared" si="202"/>
        <v>2671.4694358800002</v>
      </c>
      <c r="DK26" s="39">
        <f t="shared" si="203"/>
        <v>763.32862802700015</v>
      </c>
      <c r="DL26" s="39">
        <f t="shared" si="204"/>
        <v>1600.4701951320001</v>
      </c>
      <c r="DM26" s="48">
        <f>+AT26-'[2]тарифы (12-13) население 15%'!AP43</f>
        <v>0</v>
      </c>
      <c r="DN26" s="39"/>
      <c r="DO26" s="39"/>
      <c r="DP26" s="39"/>
      <c r="DQ26" s="39"/>
      <c r="DR26" s="39"/>
      <c r="DS26" s="39"/>
      <c r="DT26" s="39"/>
      <c r="DU26" s="19">
        <f t="shared" si="89"/>
        <v>1695.4541101694915</v>
      </c>
      <c r="DV26" s="40">
        <f t="shared" si="6"/>
        <v>1731.3606949152543</v>
      </c>
      <c r="DW26" s="40">
        <f t="shared" si="7"/>
        <v>1731.37069</v>
      </c>
      <c r="DX26" s="21">
        <f>+'[1]тарифы (НВВ) население на 4,2%'!CO46</f>
        <v>99.999864322096315</v>
      </c>
      <c r="DY26" s="21">
        <f t="shared" si="8"/>
        <v>99.999422706829705</v>
      </c>
      <c r="DZ26" s="19">
        <f t="shared" si="9"/>
        <v>5.9459415900000003</v>
      </c>
      <c r="EA26" s="19">
        <f t="shared" si="10"/>
        <v>6.0719082900000005</v>
      </c>
      <c r="EB26" s="19"/>
      <c r="EC26" s="48"/>
      <c r="ED26" s="48"/>
      <c r="EE26" s="22">
        <v>968.87</v>
      </c>
      <c r="EF26" s="22">
        <v>1035.67</v>
      </c>
      <c r="EG26" s="22">
        <f t="shared" si="13"/>
        <v>106.89462982649891</v>
      </c>
      <c r="EH26" s="22">
        <v>1143.26</v>
      </c>
      <c r="EI26" s="22">
        <v>1222.0899999999999</v>
      </c>
      <c r="EJ26" s="22">
        <f t="shared" si="14"/>
        <v>106.8951944439585</v>
      </c>
      <c r="EK26" s="40" t="s">
        <v>169</v>
      </c>
      <c r="EL26" s="19">
        <v>6.2670000000000003</v>
      </c>
      <c r="EM26" s="19">
        <v>1.7869999999999999</v>
      </c>
      <c r="EN26" s="40">
        <f t="shared" si="90"/>
        <v>1850.7413813559322</v>
      </c>
      <c r="EO26" s="40">
        <f t="shared" si="91"/>
        <v>1850.7422900000001</v>
      </c>
      <c r="EP26" s="40"/>
      <c r="EQ26" s="21">
        <f t="shared" si="92"/>
        <v>99.999950903803679</v>
      </c>
      <c r="ER26" s="21"/>
      <c r="ES26" s="19">
        <f t="shared" si="124"/>
        <v>6071.9082900000003</v>
      </c>
      <c r="ET26" s="19"/>
      <c r="EU26" s="19">
        <f t="shared" si="20"/>
        <v>6490.5438900000008</v>
      </c>
      <c r="EV26" s="21"/>
      <c r="EW26" s="166"/>
      <c r="EX26" s="39">
        <f t="shared" si="148"/>
        <v>6071.9082900000003</v>
      </c>
      <c r="EY26" s="39">
        <f t="shared" si="149"/>
        <v>6490.5438900000008</v>
      </c>
      <c r="EZ26" s="39"/>
      <c r="FA26" s="39"/>
      <c r="FB26" s="39"/>
      <c r="FC26" s="39"/>
      <c r="FD26" s="39"/>
      <c r="FE26" s="166"/>
      <c r="FF26" s="39"/>
      <c r="FG26" s="39"/>
      <c r="FH26" s="39"/>
      <c r="FI26" s="39"/>
      <c r="FJ26" s="19"/>
      <c r="FK26" s="19"/>
      <c r="FL26" s="19">
        <f t="shared" si="96"/>
        <v>0</v>
      </c>
      <c r="FM26" s="19">
        <v>6.2670000000000003</v>
      </c>
      <c r="FN26" s="19">
        <v>1.79</v>
      </c>
      <c r="FO26" s="22">
        <v>993.4</v>
      </c>
      <c r="FP26" s="22">
        <v>993.4</v>
      </c>
      <c r="FQ26" s="22">
        <f t="shared" si="125"/>
        <v>100</v>
      </c>
      <c r="FR26" s="22">
        <v>1192.08</v>
      </c>
      <c r="FS26" s="22">
        <v>1192.08</v>
      </c>
      <c r="FT26" s="22">
        <f t="shared" si="126"/>
        <v>100</v>
      </c>
      <c r="FU26" s="40" t="s">
        <v>644</v>
      </c>
      <c r="FV26" s="19"/>
      <c r="FW26" s="19"/>
      <c r="FX26" s="19"/>
      <c r="FY26" s="19"/>
      <c r="FZ26" s="19"/>
      <c r="GA26" s="19"/>
      <c r="GB26" s="19"/>
      <c r="GC26" s="20"/>
      <c r="GD26" s="20"/>
      <c r="GE26" s="19"/>
      <c r="GF26" s="19"/>
      <c r="GG26" s="19"/>
      <c r="GH26" s="19"/>
      <c r="GI26" s="19"/>
      <c r="GJ26" s="21"/>
      <c r="GK26" s="19"/>
      <c r="GL26" s="19"/>
      <c r="GM26" s="19"/>
      <c r="GN26" s="19"/>
      <c r="GO26" s="22">
        <v>993.4</v>
      </c>
      <c r="GP26" s="22">
        <v>1016.34</v>
      </c>
      <c r="GQ26" s="22"/>
      <c r="GR26" s="22">
        <v>1192.08</v>
      </c>
      <c r="GS26" s="22">
        <v>1219.6099999999999</v>
      </c>
      <c r="GT26" s="22"/>
      <c r="GU26" s="40" t="s">
        <v>644</v>
      </c>
      <c r="GV26" s="19"/>
      <c r="GW26" s="19"/>
      <c r="GX26" s="19"/>
      <c r="GY26" s="19"/>
      <c r="GZ26" s="23"/>
      <c r="HA26" s="22">
        <v>1016.34</v>
      </c>
      <c r="HB26" s="22">
        <v>1040.33</v>
      </c>
      <c r="HC26" s="22"/>
      <c r="HD26" s="22">
        <v>1219.6099999999999</v>
      </c>
      <c r="HE26" s="22">
        <v>1248.4000000000001</v>
      </c>
      <c r="HF26" s="22"/>
      <c r="HG26" s="236" t="s">
        <v>644</v>
      </c>
    </row>
    <row r="27" spans="2:215" ht="15.75">
      <c r="B27" s="10" t="s">
        <v>170</v>
      </c>
      <c r="C27" s="81" t="s">
        <v>171</v>
      </c>
      <c r="D27" s="76">
        <f t="shared" si="150"/>
        <v>0</v>
      </c>
      <c r="E27" s="73">
        <f>+'[2]2012(объемы годовые)'!M40</f>
        <v>0</v>
      </c>
      <c r="F27" s="75"/>
      <c r="G27" s="75"/>
      <c r="H27" s="75"/>
      <c r="I27" s="73">
        <f>+'[2]2012(объемы годовые)'!U40+'[2]2012(объемы годовые)'!Y40</f>
        <v>0</v>
      </c>
      <c r="J27" s="73"/>
      <c r="K27" s="73"/>
      <c r="L27" s="73"/>
      <c r="M27" s="76">
        <f>+N27+R27</f>
        <v>0</v>
      </c>
      <c r="N27" s="73">
        <f t="shared" si="151"/>
        <v>0</v>
      </c>
      <c r="O27" s="73"/>
      <c r="P27" s="73"/>
      <c r="Q27" s="73"/>
      <c r="R27" s="73">
        <f t="shared" si="152"/>
        <v>0</v>
      </c>
      <c r="S27" s="73"/>
      <c r="T27" s="73"/>
      <c r="U27" s="73"/>
      <c r="V27" s="52"/>
      <c r="W27" s="52"/>
      <c r="X27" s="52">
        <f t="shared" si="153"/>
        <v>0</v>
      </c>
      <c r="Y27" s="52"/>
      <c r="Z27" s="22">
        <f t="shared" si="154"/>
        <v>0</v>
      </c>
      <c r="AA27" s="52"/>
      <c r="AB27" s="22">
        <f t="shared" si="155"/>
        <v>0</v>
      </c>
      <c r="AC27" s="22"/>
      <c r="AD27" s="22"/>
      <c r="AE27" s="22">
        <f t="shared" si="156"/>
        <v>0</v>
      </c>
      <c r="AF27" s="22"/>
      <c r="AG27" s="22">
        <f t="shared" si="128"/>
        <v>0</v>
      </c>
      <c r="AH27" s="22">
        <v>0</v>
      </c>
      <c r="AI27" s="22">
        <v>0</v>
      </c>
      <c r="AJ27" s="52">
        <f t="shared" si="157"/>
        <v>0</v>
      </c>
      <c r="AK27" s="22">
        <v>0</v>
      </c>
      <c r="AL27" s="22">
        <f t="shared" si="158"/>
        <v>0</v>
      </c>
      <c r="AM27" s="22">
        <v>0</v>
      </c>
      <c r="AN27" s="22">
        <f t="shared" si="159"/>
        <v>0</v>
      </c>
      <c r="AO27" s="22">
        <f t="shared" si="160"/>
        <v>0</v>
      </c>
      <c r="AP27" s="22">
        <f t="shared" si="161"/>
        <v>0</v>
      </c>
      <c r="AQ27" s="22"/>
      <c r="AR27" s="22"/>
      <c r="AS27" s="22">
        <f t="shared" si="146"/>
        <v>0</v>
      </c>
      <c r="AT27" s="22"/>
      <c r="AU27" s="22">
        <f t="shared" si="129"/>
        <v>0</v>
      </c>
      <c r="AV27" s="77"/>
      <c r="AW27" s="77">
        <f t="shared" si="162"/>
        <v>0</v>
      </c>
      <c r="AX27" s="78"/>
      <c r="AY27" s="22">
        <f t="shared" si="4"/>
        <v>0</v>
      </c>
      <c r="AZ27" s="22"/>
      <c r="BA27" s="22"/>
      <c r="BB27" s="22"/>
      <c r="BC27" s="22"/>
      <c r="BD27" s="22"/>
      <c r="BE27" s="22">
        <f t="shared" si="1"/>
        <v>0</v>
      </c>
      <c r="BF27" s="22"/>
      <c r="BG27" s="22"/>
      <c r="BH27" s="22">
        <f t="shared" si="2"/>
        <v>0</v>
      </c>
      <c r="BI27" s="22"/>
      <c r="BJ27" s="40"/>
      <c r="BK27" s="19">
        <f t="shared" si="38"/>
        <v>0</v>
      </c>
      <c r="BL27" s="19">
        <f t="shared" si="163"/>
        <v>0</v>
      </c>
      <c r="BM27" s="19">
        <f t="shared" si="164"/>
        <v>0</v>
      </c>
      <c r="BN27" s="19">
        <f t="shared" si="165"/>
        <v>0</v>
      </c>
      <c r="BO27" s="19">
        <f t="shared" si="42"/>
        <v>0</v>
      </c>
      <c r="BP27" s="19">
        <f t="shared" si="166"/>
        <v>0</v>
      </c>
      <c r="BQ27" s="19">
        <f t="shared" si="167"/>
        <v>0</v>
      </c>
      <c r="BR27" s="19">
        <f t="shared" si="168"/>
        <v>0</v>
      </c>
      <c r="BS27" s="19">
        <f t="shared" si="46"/>
        <v>0</v>
      </c>
      <c r="BT27" s="19">
        <f t="shared" si="169"/>
        <v>0</v>
      </c>
      <c r="BU27" s="19">
        <f t="shared" si="170"/>
        <v>0</v>
      </c>
      <c r="BV27" s="19">
        <f t="shared" si="171"/>
        <v>0</v>
      </c>
      <c r="BW27" s="19">
        <f t="shared" si="172"/>
        <v>0</v>
      </c>
      <c r="BX27" s="19">
        <f t="shared" si="173"/>
        <v>0</v>
      </c>
      <c r="BY27" s="19">
        <f t="shared" si="174"/>
        <v>0</v>
      </c>
      <c r="BZ27" s="19">
        <f t="shared" si="175"/>
        <v>0</v>
      </c>
      <c r="CA27" s="19">
        <f t="shared" si="54"/>
        <v>0</v>
      </c>
      <c r="CB27" s="19">
        <f t="shared" si="176"/>
        <v>0</v>
      </c>
      <c r="CC27" s="19">
        <f t="shared" si="177"/>
        <v>0</v>
      </c>
      <c r="CD27" s="19">
        <f t="shared" si="178"/>
        <v>0</v>
      </c>
      <c r="CE27" s="48">
        <f t="shared" si="179"/>
        <v>0</v>
      </c>
      <c r="CF27" s="48">
        <f t="shared" si="180"/>
        <v>0</v>
      </c>
      <c r="CG27" s="48">
        <f t="shared" si="181"/>
        <v>0</v>
      </c>
      <c r="CH27" s="48">
        <f t="shared" si="182"/>
        <v>0</v>
      </c>
      <c r="CI27" s="48">
        <f t="shared" si="183"/>
        <v>0</v>
      </c>
      <c r="CJ27" s="48">
        <f t="shared" si="184"/>
        <v>0</v>
      </c>
      <c r="CK27" s="48">
        <f t="shared" si="185"/>
        <v>0</v>
      </c>
      <c r="CL27" s="48">
        <f t="shared" si="186"/>
        <v>0</v>
      </c>
      <c r="CM27" s="48">
        <f t="shared" si="187"/>
        <v>0</v>
      </c>
      <c r="CN27" s="48">
        <f t="shared" si="188"/>
        <v>0</v>
      </c>
      <c r="CO27" s="48">
        <f t="shared" si="189"/>
        <v>0</v>
      </c>
      <c r="CP27" s="48">
        <f t="shared" si="190"/>
        <v>0</v>
      </c>
      <c r="CQ27" s="48">
        <f t="shared" si="191"/>
        <v>0</v>
      </c>
      <c r="CR27" s="48">
        <f t="shared" si="192"/>
        <v>0</v>
      </c>
      <c r="CS27" s="48">
        <f t="shared" si="193"/>
        <v>0</v>
      </c>
      <c r="CT27" s="48">
        <f t="shared" si="194"/>
        <v>0</v>
      </c>
      <c r="CU27" s="48">
        <f t="shared" si="195"/>
        <v>0</v>
      </c>
      <c r="CV27" s="48">
        <f t="shared" si="75"/>
        <v>0</v>
      </c>
      <c r="CW27" s="19">
        <f t="shared" si="196"/>
        <v>0</v>
      </c>
      <c r="CX27" s="19">
        <f t="shared" si="197"/>
        <v>0</v>
      </c>
      <c r="CY27" s="19">
        <f t="shared" si="198"/>
        <v>0</v>
      </c>
      <c r="CZ27" s="19">
        <f t="shared" si="199"/>
        <v>0</v>
      </c>
      <c r="DA27" s="21">
        <f t="shared" si="80"/>
        <v>0</v>
      </c>
      <c r="DB27" s="21">
        <f t="shared" si="81"/>
        <v>0</v>
      </c>
      <c r="DC27" s="79">
        <f t="shared" si="5"/>
        <v>0</v>
      </c>
      <c r="DD27" s="79">
        <f t="shared" si="5"/>
        <v>0</v>
      </c>
      <c r="DE27" s="79">
        <f t="shared" si="200"/>
        <v>0</v>
      </c>
      <c r="DF27" s="79">
        <f t="shared" si="200"/>
        <v>0</v>
      </c>
      <c r="DG27" s="79">
        <f t="shared" si="201"/>
        <v>0</v>
      </c>
      <c r="DH27" s="51">
        <f t="shared" si="85"/>
        <v>0</v>
      </c>
      <c r="DI27" s="39"/>
      <c r="DJ27" s="80">
        <f t="shared" si="202"/>
        <v>0</v>
      </c>
      <c r="DK27" s="39">
        <f t="shared" si="203"/>
        <v>0</v>
      </c>
      <c r="DL27" s="39">
        <f t="shared" si="204"/>
        <v>0</v>
      </c>
      <c r="DM27" s="48">
        <f>+AT27-'[2]тарифы (12-13) население 15%'!AP46</f>
        <v>0</v>
      </c>
      <c r="DN27" s="39"/>
      <c r="DO27" s="39"/>
      <c r="DP27" s="39"/>
      <c r="DQ27" s="39"/>
      <c r="DR27" s="39"/>
      <c r="DS27" s="39"/>
      <c r="DT27" s="39"/>
      <c r="DU27" s="19">
        <f t="shared" si="89"/>
        <v>0</v>
      </c>
      <c r="DV27" s="40">
        <f t="shared" si="6"/>
        <v>0</v>
      </c>
      <c r="DW27" s="40">
        <f t="shared" si="7"/>
        <v>0</v>
      </c>
      <c r="DX27" s="21">
        <f>+'[1]тарифы (НВВ) население на 4,2%'!CO49</f>
        <v>0</v>
      </c>
      <c r="DY27" s="21">
        <f t="shared" si="8"/>
        <v>0</v>
      </c>
      <c r="DZ27" s="19">
        <f t="shared" si="9"/>
        <v>0</v>
      </c>
      <c r="EA27" s="19">
        <f t="shared" si="10"/>
        <v>0</v>
      </c>
      <c r="EB27" s="19"/>
      <c r="EC27" s="48">
        <f t="shared" si="120"/>
        <v>0</v>
      </c>
      <c r="ED27" s="48">
        <f t="shared" si="121"/>
        <v>0</v>
      </c>
      <c r="EE27" s="22"/>
      <c r="EF27" s="22"/>
      <c r="EG27" s="22">
        <f t="shared" si="13"/>
        <v>0</v>
      </c>
      <c r="EH27" s="22"/>
      <c r="EI27" s="22"/>
      <c r="EJ27" s="22">
        <f t="shared" si="14"/>
        <v>0</v>
      </c>
      <c r="EK27" s="40"/>
      <c r="EL27" s="19">
        <v>0</v>
      </c>
      <c r="EM27" s="19"/>
      <c r="EN27" s="40">
        <f t="shared" si="90"/>
        <v>0</v>
      </c>
      <c r="EO27" s="40">
        <f t="shared" si="91"/>
        <v>0</v>
      </c>
      <c r="EP27" s="40"/>
      <c r="EQ27" s="21">
        <f t="shared" si="92"/>
        <v>0</v>
      </c>
      <c r="ER27" s="21"/>
      <c r="ES27" s="19">
        <f t="shared" si="124"/>
        <v>0</v>
      </c>
      <c r="ET27" s="19"/>
      <c r="EU27" s="19">
        <f t="shared" si="20"/>
        <v>0</v>
      </c>
      <c r="EV27" s="21"/>
      <c r="EW27" s="166"/>
      <c r="EX27" s="39">
        <f t="shared" si="148"/>
        <v>0</v>
      </c>
      <c r="EY27" s="39">
        <f t="shared" si="149"/>
        <v>0</v>
      </c>
      <c r="EZ27" s="39"/>
      <c r="FA27" s="39"/>
      <c r="FB27" s="39"/>
      <c r="FC27" s="39"/>
      <c r="FD27" s="39"/>
      <c r="FE27" s="166"/>
      <c r="FF27" s="39"/>
      <c r="FG27" s="39"/>
      <c r="FH27" s="39"/>
      <c r="FI27" s="39"/>
      <c r="FJ27" s="19">
        <f t="shared" si="94"/>
        <v>0</v>
      </c>
      <c r="FK27" s="19">
        <f t="shared" si="95"/>
        <v>0</v>
      </c>
      <c r="FL27" s="19">
        <f t="shared" si="96"/>
        <v>0</v>
      </c>
      <c r="FM27" s="19"/>
      <c r="FN27" s="19"/>
      <c r="FO27" s="22">
        <f t="shared" si="15"/>
        <v>0</v>
      </c>
      <c r="FP27" s="22">
        <f t="shared" si="205"/>
        <v>0</v>
      </c>
      <c r="FQ27" s="22">
        <f t="shared" si="125"/>
        <v>0</v>
      </c>
      <c r="FR27" s="22">
        <f t="shared" si="98"/>
        <v>0</v>
      </c>
      <c r="FS27" s="22">
        <f t="shared" si="206"/>
        <v>0</v>
      </c>
      <c r="FT27" s="22">
        <f t="shared" si="126"/>
        <v>0</v>
      </c>
      <c r="FU27" s="40"/>
      <c r="FV27" s="19">
        <f t="shared" si="130"/>
        <v>0</v>
      </c>
      <c r="FW27" s="19">
        <f t="shared" si="131"/>
        <v>0</v>
      </c>
      <c r="FX27" s="19">
        <f t="shared" si="102"/>
        <v>0</v>
      </c>
      <c r="FY27" s="19">
        <f t="shared" si="132"/>
        <v>0</v>
      </c>
      <c r="FZ27" s="19">
        <f t="shared" si="133"/>
        <v>0</v>
      </c>
      <c r="GA27" s="19">
        <f t="shared" si="105"/>
        <v>0</v>
      </c>
      <c r="GB27" s="19">
        <f t="shared" si="106"/>
        <v>0</v>
      </c>
      <c r="GC27" s="20">
        <f t="shared" si="18"/>
        <v>0</v>
      </c>
      <c r="GD27" s="20">
        <f t="shared" si="19"/>
        <v>0</v>
      </c>
      <c r="GE27" s="19">
        <f t="shared" si="136"/>
        <v>0</v>
      </c>
      <c r="GF27" s="19">
        <f t="shared" si="137"/>
        <v>0</v>
      </c>
      <c r="GG27" s="19"/>
      <c r="GH27" s="19"/>
      <c r="GI27" s="19">
        <f t="shared" si="138"/>
        <v>0</v>
      </c>
      <c r="GJ27" s="21">
        <f t="shared" si="139"/>
        <v>0</v>
      </c>
      <c r="GK27" s="19"/>
      <c r="GL27" s="19"/>
      <c r="GM27" s="19"/>
      <c r="GN27" s="19"/>
      <c r="GO27" s="22"/>
      <c r="GP27" s="22"/>
      <c r="GQ27" s="22">
        <f t="shared" si="140"/>
        <v>0</v>
      </c>
      <c r="GR27" s="22"/>
      <c r="GS27" s="22"/>
      <c r="GT27" s="22">
        <f t="shared" si="141"/>
        <v>0</v>
      </c>
      <c r="GU27" s="43"/>
      <c r="GV27" s="19"/>
      <c r="GW27" s="19"/>
      <c r="GX27" s="19">
        <f t="shared" si="142"/>
        <v>0</v>
      </c>
      <c r="GY27" s="19">
        <f t="shared" si="143"/>
        <v>0</v>
      </c>
      <c r="GZ27" s="23">
        <f t="shared" si="144"/>
        <v>0</v>
      </c>
      <c r="HA27" s="22"/>
      <c r="HB27" s="22"/>
      <c r="HC27" s="22">
        <f t="shared" si="145"/>
        <v>0</v>
      </c>
      <c r="HD27" s="22"/>
      <c r="HE27" s="22"/>
      <c r="HF27" s="22">
        <f t="shared" si="127"/>
        <v>0</v>
      </c>
      <c r="HG27" s="233"/>
    </row>
    <row r="28" spans="2:215" ht="16.149999999999999" customHeight="1">
      <c r="B28" s="10"/>
      <c r="C28" s="161" t="s">
        <v>153</v>
      </c>
      <c r="D28" s="76">
        <f t="shared" si="150"/>
        <v>6334</v>
      </c>
      <c r="E28" s="73">
        <f>+'[2]2012(объемы годовые)'!M41</f>
        <v>272</v>
      </c>
      <c r="F28" s="75">
        <f>+E28*$F$3</f>
        <v>150.30719999999999</v>
      </c>
      <c r="G28" s="75">
        <f>+E28*$G$3</f>
        <v>40.555199999999999</v>
      </c>
      <c r="H28" s="75">
        <f>+E28*$H$3</f>
        <v>81.137600000000006</v>
      </c>
      <c r="I28" s="73">
        <f>+'[2]2012(объемы годовые)'!U41+'[2]2012(объемы годовые)'!Y41</f>
        <v>6062</v>
      </c>
      <c r="J28" s="75">
        <f>+I28*$J$3</f>
        <v>3349.8611999999998</v>
      </c>
      <c r="K28" s="75">
        <f>+I28*$K$3</f>
        <v>903.84420000000011</v>
      </c>
      <c r="L28" s="75">
        <f>+I28*$L$3</f>
        <v>1808.2945999999999</v>
      </c>
      <c r="M28" s="76">
        <f>+'[5]тарифы (НВВ) население на 12%'!$M$50</f>
        <v>6334</v>
      </c>
      <c r="N28" s="73">
        <f t="shared" si="151"/>
        <v>272</v>
      </c>
      <c r="O28" s="74">
        <v>160.37120000000002</v>
      </c>
      <c r="P28" s="74"/>
      <c r="Q28" s="74">
        <v>111.6288</v>
      </c>
      <c r="R28" s="73">
        <f t="shared" si="152"/>
        <v>6062</v>
      </c>
      <c r="S28" s="74">
        <v>3574.1552000000001</v>
      </c>
      <c r="T28" s="74"/>
      <c r="U28" s="74">
        <v>2487.8447999999999</v>
      </c>
      <c r="V28" s="52">
        <v>646.34</v>
      </c>
      <c r="W28" s="52">
        <v>646.34</v>
      </c>
      <c r="X28" s="52">
        <f t="shared" si="153"/>
        <v>100</v>
      </c>
      <c r="Y28" s="52">
        <v>681.78</v>
      </c>
      <c r="Z28" s="22">
        <f t="shared" si="154"/>
        <v>105.48318222607296</v>
      </c>
      <c r="AA28" s="22">
        <v>714.3</v>
      </c>
      <c r="AB28" s="22">
        <f t="shared" si="155"/>
        <v>104.76986711255829</v>
      </c>
      <c r="AC28" s="22">
        <v>714.3</v>
      </c>
      <c r="AD28" s="22">
        <v>714.3</v>
      </c>
      <c r="AE28" s="22">
        <f t="shared" si="156"/>
        <v>111.69956600867982</v>
      </c>
      <c r="AF28" s="22">
        <v>797.87</v>
      </c>
      <c r="AG28" s="22">
        <f t="shared" si="128"/>
        <v>111.69956600867982</v>
      </c>
      <c r="AH28" s="22">
        <v>762.68</v>
      </c>
      <c r="AI28" s="22">
        <v>762.68</v>
      </c>
      <c r="AJ28" s="52">
        <f t="shared" si="157"/>
        <v>100</v>
      </c>
      <c r="AK28" s="22">
        <v>804.5</v>
      </c>
      <c r="AL28" s="22">
        <f t="shared" si="158"/>
        <v>105.48329574657787</v>
      </c>
      <c r="AM28" s="22">
        <v>842.87</v>
      </c>
      <c r="AN28" s="22">
        <f t="shared" si="159"/>
        <v>104.76942200124302</v>
      </c>
      <c r="AO28" s="22">
        <f t="shared" si="160"/>
        <v>110.51458984435436</v>
      </c>
      <c r="AP28" s="22">
        <f t="shared" si="161"/>
        <v>110.51423926155137</v>
      </c>
      <c r="AQ28" s="22">
        <v>842.87</v>
      </c>
      <c r="AR28" s="22">
        <v>842.87</v>
      </c>
      <c r="AS28" s="22">
        <f t="shared" si="146"/>
        <v>111.70049948390617</v>
      </c>
      <c r="AT28" s="22">
        <v>941.49</v>
      </c>
      <c r="AU28" s="22">
        <f t="shared" si="129"/>
        <v>111.70049948390617</v>
      </c>
      <c r="AV28" s="77"/>
      <c r="AW28" s="77">
        <f t="shared" si="162"/>
        <v>0.50047740762420712</v>
      </c>
      <c r="AX28" s="78" t="s">
        <v>172</v>
      </c>
      <c r="AY28" s="22">
        <f t="shared" si="4"/>
        <v>6.3339999999999996</v>
      </c>
      <c r="AZ28" s="22">
        <f>+[6]БПр!$DH$330/1000</f>
        <v>0.27199999999999996</v>
      </c>
      <c r="BA28" s="22"/>
      <c r="BB28" s="22">
        <f>+[6]БПр!$CP$330/1000</f>
        <v>6.0619999999999994</v>
      </c>
      <c r="BC28" s="22">
        <v>782.5</v>
      </c>
      <c r="BD28" s="22">
        <v>790.7</v>
      </c>
      <c r="BE28" s="22">
        <f t="shared" si="1"/>
        <v>101.04792332268372</v>
      </c>
      <c r="BF28" s="22">
        <v>923.35</v>
      </c>
      <c r="BG28" s="22">
        <v>933.03</v>
      </c>
      <c r="BH28" s="22">
        <f t="shared" si="2"/>
        <v>101.04835652786051</v>
      </c>
      <c r="BI28" s="22">
        <f>+BD28-BG28/1.18</f>
        <v>-3.3898305084676394E-3</v>
      </c>
      <c r="BJ28" s="40" t="s">
        <v>173</v>
      </c>
      <c r="BK28" s="19">
        <f t="shared" si="38"/>
        <v>4093.9172833898306</v>
      </c>
      <c r="BL28" s="19">
        <f t="shared" si="163"/>
        <v>175.80420338983052</v>
      </c>
      <c r="BM28" s="19">
        <f t="shared" si="164"/>
        <v>0</v>
      </c>
      <c r="BN28" s="19">
        <f t="shared" si="165"/>
        <v>3918.1130800000001</v>
      </c>
      <c r="BO28" s="19">
        <f t="shared" si="42"/>
        <v>4318.3944277966102</v>
      </c>
      <c r="BP28" s="19">
        <f t="shared" si="166"/>
        <v>185.44406779661017</v>
      </c>
      <c r="BQ28" s="19">
        <f t="shared" si="167"/>
        <v>0</v>
      </c>
      <c r="BR28" s="19">
        <f t="shared" si="168"/>
        <v>4132.9503599999998</v>
      </c>
      <c r="BS28" s="19">
        <f t="shared" si="46"/>
        <v>4524.3752779661017</v>
      </c>
      <c r="BT28" s="19">
        <f t="shared" si="169"/>
        <v>194.28867796610172</v>
      </c>
      <c r="BU28" s="19">
        <f t="shared" si="170"/>
        <v>0</v>
      </c>
      <c r="BV28" s="19">
        <f t="shared" si="171"/>
        <v>4330.0865999999996</v>
      </c>
      <c r="BW28" s="19">
        <f t="shared" si="172"/>
        <v>4524.3752779661017</v>
      </c>
      <c r="BX28" s="19">
        <f t="shared" si="173"/>
        <v>194.28867796610172</v>
      </c>
      <c r="BY28" s="19">
        <f t="shared" si="174"/>
        <v>0</v>
      </c>
      <c r="BZ28" s="19">
        <f t="shared" si="175"/>
        <v>4330.0865999999996</v>
      </c>
      <c r="CA28" s="19">
        <f t="shared" si="54"/>
        <v>5053.7093637288144</v>
      </c>
      <c r="CB28" s="19">
        <f t="shared" si="176"/>
        <v>217.02142372881357</v>
      </c>
      <c r="CC28" s="19">
        <f t="shared" si="177"/>
        <v>0</v>
      </c>
      <c r="CD28" s="19">
        <f t="shared" si="178"/>
        <v>4836.6879400000007</v>
      </c>
      <c r="CE28" s="48">
        <f t="shared" si="179"/>
        <v>646.34</v>
      </c>
      <c r="CF28" s="48">
        <f t="shared" si="180"/>
        <v>681.78</v>
      </c>
      <c r="CG28" s="48">
        <f t="shared" si="181"/>
        <v>714.3</v>
      </c>
      <c r="CH28" s="48">
        <f t="shared" si="182"/>
        <v>762.68</v>
      </c>
      <c r="CI28" s="48">
        <f t="shared" si="183"/>
        <v>804.5</v>
      </c>
      <c r="CJ28" s="48">
        <f t="shared" si="184"/>
        <v>842.87000000000012</v>
      </c>
      <c r="CK28" s="48">
        <f t="shared" si="185"/>
        <v>646.33995632930691</v>
      </c>
      <c r="CL28" s="48">
        <f t="shared" si="186"/>
        <v>681.77998544310242</v>
      </c>
      <c r="CM28" s="48">
        <f t="shared" si="187"/>
        <v>714.29985443102328</v>
      </c>
      <c r="CN28" s="48">
        <f t="shared" si="188"/>
        <v>680.80659873447757</v>
      </c>
      <c r="CO28" s="48">
        <f t="shared" si="189"/>
        <v>714.3</v>
      </c>
      <c r="CP28" s="48">
        <f t="shared" si="190"/>
        <v>797.87000000000012</v>
      </c>
      <c r="CQ28" s="48">
        <f t="shared" si="191"/>
        <v>842.87000000000012</v>
      </c>
      <c r="CR28" s="48">
        <f t="shared" si="192"/>
        <v>941.49</v>
      </c>
      <c r="CS28" s="48">
        <f t="shared" si="193"/>
        <v>714.29985443102328</v>
      </c>
      <c r="CT28" s="48">
        <f t="shared" si="194"/>
        <v>797.87012373363029</v>
      </c>
      <c r="CU28" s="48">
        <f t="shared" si="195"/>
        <v>756.08498908232696</v>
      </c>
      <c r="CV28" s="48">
        <f t="shared" si="75"/>
        <v>111.05723570949242</v>
      </c>
      <c r="CW28" s="19">
        <f t="shared" si="196"/>
        <v>182.75542593898308</v>
      </c>
      <c r="CX28" s="19">
        <f t="shared" si="197"/>
        <v>182.75586758399999</v>
      </c>
      <c r="CY28" s="19">
        <f t="shared" si="198"/>
        <v>203.61819682711865</v>
      </c>
      <c r="CZ28" s="19">
        <f t="shared" si="199"/>
        <v>203.618418816</v>
      </c>
      <c r="DA28" s="21">
        <f t="shared" si="80"/>
        <v>99.999758341539049</v>
      </c>
      <c r="DB28" s="21">
        <f t="shared" si="81"/>
        <v>99.99989097799569</v>
      </c>
      <c r="DC28" s="79">
        <f t="shared" si="5"/>
        <v>111.41567796465921</v>
      </c>
      <c r="DD28" s="79">
        <f t="shared" si="5"/>
        <v>111.4155301866907</v>
      </c>
      <c r="DE28" s="79">
        <f t="shared" si="200"/>
        <v>2667.5722075200001</v>
      </c>
      <c r="DF28" s="79">
        <f t="shared" si="200"/>
        <v>0</v>
      </c>
      <c r="DG28" s="79">
        <f t="shared" si="201"/>
        <v>2074.0420012319996</v>
      </c>
      <c r="DH28" s="51">
        <f t="shared" si="85"/>
        <v>4741.6142087520002</v>
      </c>
      <c r="DI28" s="39"/>
      <c r="DJ28" s="80">
        <f t="shared" si="202"/>
        <v>2262.2988436560004</v>
      </c>
      <c r="DK28" s="39">
        <f t="shared" si="203"/>
        <v>643.87262293200013</v>
      </c>
      <c r="DL28" s="39">
        <f t="shared" si="204"/>
        <v>1349.6214204599999</v>
      </c>
      <c r="DM28" s="48">
        <f>+AT28-'[2]тарифы (12-13) население 15%'!AP47</f>
        <v>0</v>
      </c>
      <c r="DN28" s="39"/>
      <c r="DO28" s="39"/>
      <c r="DP28" s="39"/>
      <c r="DQ28" s="39"/>
      <c r="DR28" s="39"/>
      <c r="DS28" s="39"/>
      <c r="DT28" s="39"/>
      <c r="DU28" s="19">
        <f t="shared" si="89"/>
        <v>212.83999999999997</v>
      </c>
      <c r="DV28" s="40">
        <f t="shared" si="6"/>
        <v>215.07132203389827</v>
      </c>
      <c r="DW28" s="40">
        <f t="shared" si="7"/>
        <v>215.07039999999998</v>
      </c>
      <c r="DX28" s="21">
        <f>+'[1]тарифы (НВВ) население на 4,2%'!CO50</f>
        <v>99.99989097799569</v>
      </c>
      <c r="DY28" s="21">
        <f t="shared" si="8"/>
        <v>100.00042871259748</v>
      </c>
      <c r="DZ28" s="19">
        <f t="shared" si="9"/>
        <v>4.9563549999999994</v>
      </c>
      <c r="EA28" s="19">
        <f t="shared" si="10"/>
        <v>5.0082938000000006</v>
      </c>
      <c r="EB28" s="19"/>
      <c r="EC28" s="48"/>
      <c r="ED28" s="48"/>
      <c r="EE28" s="22">
        <v>786.26</v>
      </c>
      <c r="EF28" s="22">
        <v>830.68</v>
      </c>
      <c r="EG28" s="22">
        <f t="shared" si="13"/>
        <v>105.64953068959377</v>
      </c>
      <c r="EH28" s="22">
        <v>927.79</v>
      </c>
      <c r="EI28" s="22">
        <v>980.2</v>
      </c>
      <c r="EJ28" s="22">
        <f t="shared" si="14"/>
        <v>105.64890761918106</v>
      </c>
      <c r="EK28" s="40" t="s">
        <v>174</v>
      </c>
      <c r="EL28" s="19">
        <v>6.3339999999999996</v>
      </c>
      <c r="EM28" s="19">
        <v>0.27199999999999996</v>
      </c>
      <c r="EN28" s="40">
        <f t="shared" si="90"/>
        <v>225.94440677966102</v>
      </c>
      <c r="EO28" s="40">
        <f t="shared" si="91"/>
        <v>225.94495999999995</v>
      </c>
      <c r="EP28" s="40"/>
      <c r="EQ28" s="21">
        <f t="shared" si="92"/>
        <v>99.999755152609325</v>
      </c>
      <c r="ER28" s="21"/>
      <c r="ES28" s="19">
        <f t="shared" si="124"/>
        <v>4980.1708399999998</v>
      </c>
      <c r="ET28" s="19"/>
      <c r="EU28" s="19">
        <f t="shared" si="20"/>
        <v>5261.5271199999997</v>
      </c>
      <c r="EV28" s="21"/>
      <c r="EW28" s="166"/>
      <c r="EX28" s="39">
        <f t="shared" si="148"/>
        <v>5008.2938000000004</v>
      </c>
      <c r="EY28" s="39">
        <f t="shared" si="149"/>
        <v>5261.5271199999997</v>
      </c>
      <c r="EZ28" s="39"/>
      <c r="FA28" s="39"/>
      <c r="FB28" s="39"/>
      <c r="FC28" s="39"/>
      <c r="FD28" s="39"/>
      <c r="FE28" s="166"/>
      <c r="FF28" s="39"/>
      <c r="FG28" s="39"/>
      <c r="FH28" s="39"/>
      <c r="FI28" s="39"/>
      <c r="FJ28" s="19"/>
      <c r="FK28" s="19"/>
      <c r="FL28" s="19">
        <f t="shared" si="96"/>
        <v>0</v>
      </c>
      <c r="FM28" s="19">
        <v>6.3339999999999996</v>
      </c>
      <c r="FN28" s="19">
        <v>0.27</v>
      </c>
      <c r="FO28" s="22">
        <v>909.64</v>
      </c>
      <c r="FP28" s="22">
        <v>1081.96</v>
      </c>
      <c r="FQ28" s="22">
        <f t="shared" si="125"/>
        <v>118.94375797018601</v>
      </c>
      <c r="FR28" s="22">
        <v>1091.57</v>
      </c>
      <c r="FS28" s="22">
        <v>1297.75</v>
      </c>
      <c r="FT28" s="22">
        <f t="shared" si="126"/>
        <v>118.88839011698747</v>
      </c>
      <c r="FU28" s="40" t="s">
        <v>645</v>
      </c>
      <c r="FV28" s="19"/>
      <c r="FW28" s="19"/>
      <c r="FX28" s="19"/>
      <c r="FY28" s="19"/>
      <c r="FZ28" s="19"/>
      <c r="GA28" s="19"/>
      <c r="GB28" s="19"/>
      <c r="GC28" s="20"/>
      <c r="GD28" s="20"/>
      <c r="GE28" s="19"/>
      <c r="GF28" s="19"/>
      <c r="GG28" s="19"/>
      <c r="GH28" s="19"/>
      <c r="GI28" s="19"/>
      <c r="GJ28" s="21"/>
      <c r="GK28" s="19"/>
      <c r="GL28" s="19"/>
      <c r="GM28" s="19"/>
      <c r="GN28" s="19"/>
      <c r="GO28" s="22">
        <v>1081.96</v>
      </c>
      <c r="GP28" s="22">
        <v>1233.18</v>
      </c>
      <c r="GQ28" s="22"/>
      <c r="GR28" s="22">
        <v>1297.75</v>
      </c>
      <c r="GS28" s="22">
        <v>1479.82</v>
      </c>
      <c r="GT28" s="22"/>
      <c r="GU28" s="40" t="s">
        <v>645</v>
      </c>
      <c r="GV28" s="19"/>
      <c r="GW28" s="19"/>
      <c r="GX28" s="19"/>
      <c r="GY28" s="19"/>
      <c r="GZ28" s="23"/>
      <c r="HA28" s="22">
        <v>1233.18</v>
      </c>
      <c r="HB28" s="22">
        <v>1277.8399999999999</v>
      </c>
      <c r="HC28" s="22"/>
      <c r="HD28" s="22">
        <v>1479.82</v>
      </c>
      <c r="HE28" s="22">
        <v>1533.41</v>
      </c>
      <c r="HF28" s="22">
        <f t="shared" si="127"/>
        <v>103.6213863848306</v>
      </c>
      <c r="HG28" s="236" t="s">
        <v>645</v>
      </c>
    </row>
    <row r="29" spans="2:215" ht="15.75">
      <c r="B29" s="10" t="s">
        <v>178</v>
      </c>
      <c r="C29" s="81" t="s">
        <v>179</v>
      </c>
      <c r="D29" s="76">
        <f t="shared" si="150"/>
        <v>0</v>
      </c>
      <c r="E29" s="73"/>
      <c r="F29" s="75"/>
      <c r="G29" s="75"/>
      <c r="H29" s="75"/>
      <c r="I29" s="73"/>
      <c r="J29" s="73"/>
      <c r="K29" s="73"/>
      <c r="L29" s="73"/>
      <c r="M29" s="76">
        <f>+N29+R29</f>
        <v>0</v>
      </c>
      <c r="N29" s="73">
        <f t="shared" si="151"/>
        <v>0</v>
      </c>
      <c r="O29" s="73"/>
      <c r="P29" s="73"/>
      <c r="Q29" s="73"/>
      <c r="R29" s="73">
        <f t="shared" si="152"/>
        <v>0</v>
      </c>
      <c r="S29" s="73"/>
      <c r="T29" s="73"/>
      <c r="U29" s="73"/>
      <c r="V29" s="52"/>
      <c r="W29" s="52"/>
      <c r="X29" s="52">
        <f t="shared" si="153"/>
        <v>0</v>
      </c>
      <c r="Y29" s="52"/>
      <c r="Z29" s="22">
        <f t="shared" si="154"/>
        <v>0</v>
      </c>
      <c r="AA29" s="52"/>
      <c r="AB29" s="22">
        <f t="shared" si="155"/>
        <v>0</v>
      </c>
      <c r="AC29" s="22"/>
      <c r="AD29" s="22"/>
      <c r="AE29" s="22">
        <f t="shared" si="156"/>
        <v>0</v>
      </c>
      <c r="AF29" s="22"/>
      <c r="AG29" s="22">
        <f t="shared" si="128"/>
        <v>0</v>
      </c>
      <c r="AH29" s="22">
        <v>0</v>
      </c>
      <c r="AI29" s="22">
        <v>0</v>
      </c>
      <c r="AJ29" s="52">
        <f t="shared" si="157"/>
        <v>0</v>
      </c>
      <c r="AK29" s="22">
        <v>0</v>
      </c>
      <c r="AL29" s="22">
        <f t="shared" si="158"/>
        <v>0</v>
      </c>
      <c r="AM29" s="22">
        <v>0</v>
      </c>
      <c r="AN29" s="22">
        <f t="shared" si="159"/>
        <v>0</v>
      </c>
      <c r="AO29" s="22">
        <f t="shared" si="160"/>
        <v>0</v>
      </c>
      <c r="AP29" s="22">
        <f t="shared" si="161"/>
        <v>0</v>
      </c>
      <c r="AQ29" s="22"/>
      <c r="AR29" s="22"/>
      <c r="AS29" s="22">
        <f t="shared" si="146"/>
        <v>0</v>
      </c>
      <c r="AT29" s="22"/>
      <c r="AU29" s="22">
        <f t="shared" si="129"/>
        <v>0</v>
      </c>
      <c r="AV29" s="77"/>
      <c r="AW29" s="77">
        <f t="shared" si="162"/>
        <v>0</v>
      </c>
      <c r="AX29" s="78"/>
      <c r="AY29" s="22">
        <f t="shared" si="4"/>
        <v>0</v>
      </c>
      <c r="AZ29" s="22"/>
      <c r="BA29" s="22"/>
      <c r="BB29" s="22"/>
      <c r="BC29" s="22"/>
      <c r="BD29" s="22"/>
      <c r="BE29" s="22">
        <f t="shared" si="1"/>
        <v>0</v>
      </c>
      <c r="BF29" s="22"/>
      <c r="BG29" s="22"/>
      <c r="BH29" s="22">
        <f t="shared" si="2"/>
        <v>0</v>
      </c>
      <c r="BI29" s="22"/>
      <c r="BJ29" s="40"/>
      <c r="BK29" s="19">
        <f t="shared" si="38"/>
        <v>0</v>
      </c>
      <c r="BL29" s="19">
        <f t="shared" si="163"/>
        <v>0</v>
      </c>
      <c r="BM29" s="19">
        <f t="shared" si="164"/>
        <v>0</v>
      </c>
      <c r="BN29" s="19">
        <f t="shared" si="165"/>
        <v>0</v>
      </c>
      <c r="BO29" s="19">
        <f t="shared" si="42"/>
        <v>0</v>
      </c>
      <c r="BP29" s="19">
        <f t="shared" si="166"/>
        <v>0</v>
      </c>
      <c r="BQ29" s="19">
        <f t="shared" si="167"/>
        <v>0</v>
      </c>
      <c r="BR29" s="19">
        <f t="shared" si="168"/>
        <v>0</v>
      </c>
      <c r="BS29" s="19">
        <f t="shared" si="46"/>
        <v>0</v>
      </c>
      <c r="BT29" s="19">
        <f t="shared" si="169"/>
        <v>0</v>
      </c>
      <c r="BU29" s="19">
        <f t="shared" si="170"/>
        <v>0</v>
      </c>
      <c r="BV29" s="19">
        <f t="shared" si="171"/>
        <v>0</v>
      </c>
      <c r="BW29" s="19">
        <f t="shared" si="172"/>
        <v>0</v>
      </c>
      <c r="BX29" s="19">
        <f t="shared" si="173"/>
        <v>0</v>
      </c>
      <c r="BY29" s="19">
        <f t="shared" si="174"/>
        <v>0</v>
      </c>
      <c r="BZ29" s="19">
        <f t="shared" si="175"/>
        <v>0</v>
      </c>
      <c r="CA29" s="19">
        <f t="shared" si="54"/>
        <v>0</v>
      </c>
      <c r="CB29" s="19">
        <f t="shared" si="176"/>
        <v>0</v>
      </c>
      <c r="CC29" s="19">
        <f t="shared" si="177"/>
        <v>0</v>
      </c>
      <c r="CD29" s="19">
        <f t="shared" si="178"/>
        <v>0</v>
      </c>
      <c r="CE29" s="48">
        <f t="shared" si="179"/>
        <v>0</v>
      </c>
      <c r="CF29" s="48">
        <f t="shared" si="180"/>
        <v>0</v>
      </c>
      <c r="CG29" s="48">
        <f t="shared" si="181"/>
        <v>0</v>
      </c>
      <c r="CH29" s="48">
        <f t="shared" si="182"/>
        <v>0</v>
      </c>
      <c r="CI29" s="48">
        <f t="shared" si="183"/>
        <v>0</v>
      </c>
      <c r="CJ29" s="48">
        <f t="shared" si="184"/>
        <v>0</v>
      </c>
      <c r="CK29" s="48">
        <f t="shared" si="185"/>
        <v>0</v>
      </c>
      <c r="CL29" s="48">
        <f t="shared" si="186"/>
        <v>0</v>
      </c>
      <c r="CM29" s="48">
        <f t="shared" si="187"/>
        <v>0</v>
      </c>
      <c r="CN29" s="48">
        <f t="shared" si="188"/>
        <v>0</v>
      </c>
      <c r="CO29" s="48">
        <f t="shared" si="189"/>
        <v>0</v>
      </c>
      <c r="CP29" s="48">
        <f t="shared" si="190"/>
        <v>0</v>
      </c>
      <c r="CQ29" s="48">
        <f t="shared" si="191"/>
        <v>0</v>
      </c>
      <c r="CR29" s="48">
        <f t="shared" si="192"/>
        <v>0</v>
      </c>
      <c r="CS29" s="48">
        <f t="shared" si="193"/>
        <v>0</v>
      </c>
      <c r="CT29" s="48">
        <f t="shared" si="194"/>
        <v>0</v>
      </c>
      <c r="CU29" s="48">
        <f t="shared" si="195"/>
        <v>0</v>
      </c>
      <c r="CV29" s="48">
        <f t="shared" si="75"/>
        <v>0</v>
      </c>
      <c r="CW29" s="19">
        <f t="shared" si="196"/>
        <v>0</v>
      </c>
      <c r="CX29" s="19">
        <f t="shared" si="197"/>
        <v>0</v>
      </c>
      <c r="CY29" s="19">
        <f t="shared" si="198"/>
        <v>0</v>
      </c>
      <c r="CZ29" s="19">
        <f t="shared" si="199"/>
        <v>0</v>
      </c>
      <c r="DA29" s="21">
        <f t="shared" si="80"/>
        <v>0</v>
      </c>
      <c r="DB29" s="21">
        <f t="shared" si="81"/>
        <v>0</v>
      </c>
      <c r="DC29" s="79">
        <f t="shared" si="5"/>
        <v>0</v>
      </c>
      <c r="DD29" s="79">
        <f t="shared" si="5"/>
        <v>0</v>
      </c>
      <c r="DE29" s="79">
        <f t="shared" si="200"/>
        <v>0</v>
      </c>
      <c r="DF29" s="79">
        <f t="shared" si="200"/>
        <v>0</v>
      </c>
      <c r="DG29" s="79">
        <f t="shared" si="201"/>
        <v>0</v>
      </c>
      <c r="DH29" s="51">
        <f t="shared" si="85"/>
        <v>0</v>
      </c>
      <c r="DI29" s="39"/>
      <c r="DJ29" s="80">
        <f t="shared" si="202"/>
        <v>0</v>
      </c>
      <c r="DK29" s="39">
        <f t="shared" si="203"/>
        <v>0</v>
      </c>
      <c r="DL29" s="39">
        <f t="shared" si="204"/>
        <v>0</v>
      </c>
      <c r="DM29" s="48">
        <f>+AT29-'[2]тарифы (12-13) население 15%'!AP51</f>
        <v>0</v>
      </c>
      <c r="DN29" s="39"/>
      <c r="DO29" s="39"/>
      <c r="DP29" s="39"/>
      <c r="DQ29" s="39"/>
      <c r="DR29" s="39"/>
      <c r="DS29" s="39"/>
      <c r="DT29" s="39"/>
      <c r="DU29" s="19">
        <f t="shared" si="89"/>
        <v>0</v>
      </c>
      <c r="DV29" s="40">
        <f t="shared" si="6"/>
        <v>0</v>
      </c>
      <c r="DW29" s="40">
        <f t="shared" si="7"/>
        <v>0</v>
      </c>
      <c r="DX29" s="21">
        <f>+'[1]тарифы (НВВ) население на 4,2%'!CO54</f>
        <v>0</v>
      </c>
      <c r="DY29" s="21">
        <f t="shared" si="8"/>
        <v>0</v>
      </c>
      <c r="DZ29" s="19">
        <f t="shared" si="9"/>
        <v>0</v>
      </c>
      <c r="EA29" s="19">
        <f t="shared" si="10"/>
        <v>0</v>
      </c>
      <c r="EB29" s="19"/>
      <c r="EC29" s="48">
        <f t="shared" si="120"/>
        <v>0</v>
      </c>
      <c r="ED29" s="48">
        <f t="shared" si="121"/>
        <v>0</v>
      </c>
      <c r="EE29" s="22"/>
      <c r="EF29" s="22"/>
      <c r="EG29" s="22">
        <f t="shared" si="13"/>
        <v>0</v>
      </c>
      <c r="EH29" s="22"/>
      <c r="EI29" s="22"/>
      <c r="EJ29" s="22">
        <f t="shared" si="14"/>
        <v>0</v>
      </c>
      <c r="EK29" s="40"/>
      <c r="EL29" s="19"/>
      <c r="EM29" s="19"/>
      <c r="EN29" s="40">
        <f t="shared" si="90"/>
        <v>0</v>
      </c>
      <c r="EO29" s="40">
        <f t="shared" si="91"/>
        <v>0</v>
      </c>
      <c r="EP29" s="40"/>
      <c r="EQ29" s="21">
        <f t="shared" si="92"/>
        <v>0</v>
      </c>
      <c r="ER29" s="21"/>
      <c r="ES29" s="19">
        <f t="shared" si="124"/>
        <v>0</v>
      </c>
      <c r="ET29" s="19"/>
      <c r="EU29" s="19">
        <f t="shared" si="20"/>
        <v>0</v>
      </c>
      <c r="EV29" s="21"/>
      <c r="EW29" s="166"/>
      <c r="EX29" s="39">
        <f t="shared" si="148"/>
        <v>0</v>
      </c>
      <c r="EY29" s="39">
        <f t="shared" si="149"/>
        <v>0</v>
      </c>
      <c r="EZ29" s="39"/>
      <c r="FA29" s="39"/>
      <c r="FB29" s="39"/>
      <c r="FC29" s="39"/>
      <c r="FD29" s="39"/>
      <c r="FE29" s="166"/>
      <c r="FF29" s="39"/>
      <c r="FG29" s="39"/>
      <c r="FH29" s="39"/>
      <c r="FI29" s="39"/>
      <c r="FJ29" s="19">
        <f t="shared" si="94"/>
        <v>0</v>
      </c>
      <c r="FK29" s="19">
        <f t="shared" si="95"/>
        <v>0</v>
      </c>
      <c r="FL29" s="19">
        <f t="shared" si="96"/>
        <v>0</v>
      </c>
      <c r="FM29" s="19"/>
      <c r="FN29" s="19"/>
      <c r="FO29" s="22">
        <f t="shared" si="15"/>
        <v>0</v>
      </c>
      <c r="FP29" s="22">
        <f t="shared" si="205"/>
        <v>0</v>
      </c>
      <c r="FQ29" s="22">
        <f t="shared" si="125"/>
        <v>0</v>
      </c>
      <c r="FR29" s="22">
        <f t="shared" si="98"/>
        <v>0</v>
      </c>
      <c r="FS29" s="22">
        <f t="shared" si="206"/>
        <v>0</v>
      </c>
      <c r="FT29" s="22">
        <f t="shared" si="126"/>
        <v>0</v>
      </c>
      <c r="FU29" s="40"/>
      <c r="FV29" s="19">
        <f t="shared" si="130"/>
        <v>0</v>
      </c>
      <c r="FW29" s="19">
        <f t="shared" si="131"/>
        <v>0</v>
      </c>
      <c r="FX29" s="19">
        <f t="shared" si="102"/>
        <v>0</v>
      </c>
      <c r="FY29" s="19">
        <f t="shared" si="132"/>
        <v>0</v>
      </c>
      <c r="FZ29" s="19">
        <f t="shared" si="133"/>
        <v>0</v>
      </c>
      <c r="GA29" s="19">
        <f t="shared" si="105"/>
        <v>0</v>
      </c>
      <c r="GB29" s="19">
        <f t="shared" si="106"/>
        <v>0</v>
      </c>
      <c r="GC29" s="20">
        <f t="shared" si="18"/>
        <v>0</v>
      </c>
      <c r="GD29" s="20">
        <f t="shared" si="19"/>
        <v>0</v>
      </c>
      <c r="GE29" s="19">
        <f t="shared" si="136"/>
        <v>0</v>
      </c>
      <c r="GF29" s="19">
        <f t="shared" si="137"/>
        <v>0</v>
      </c>
      <c r="GG29" s="19"/>
      <c r="GH29" s="19"/>
      <c r="GI29" s="19">
        <f t="shared" si="138"/>
        <v>0</v>
      </c>
      <c r="GJ29" s="21">
        <f t="shared" si="139"/>
        <v>0</v>
      </c>
      <c r="GK29" s="19"/>
      <c r="GL29" s="19"/>
      <c r="GM29" s="19"/>
      <c r="GN29" s="19"/>
      <c r="GO29" s="22"/>
      <c r="GP29" s="22"/>
      <c r="GQ29" s="22">
        <f t="shared" si="140"/>
        <v>0</v>
      </c>
      <c r="GR29" s="22"/>
      <c r="GS29" s="22"/>
      <c r="GT29" s="22">
        <f t="shared" si="141"/>
        <v>0</v>
      </c>
      <c r="GU29" s="43"/>
      <c r="GV29" s="19"/>
      <c r="GW29" s="19"/>
      <c r="GX29" s="19">
        <f t="shared" si="142"/>
        <v>0</v>
      </c>
      <c r="GY29" s="19">
        <f t="shared" si="143"/>
        <v>0</v>
      </c>
      <c r="GZ29" s="23">
        <f t="shared" si="144"/>
        <v>0</v>
      </c>
      <c r="HA29" s="22"/>
      <c r="HB29" s="22"/>
      <c r="HC29" s="22">
        <f t="shared" si="145"/>
        <v>0</v>
      </c>
      <c r="HD29" s="22"/>
      <c r="HE29" s="22"/>
      <c r="HF29" s="22">
        <f t="shared" si="127"/>
        <v>0</v>
      </c>
      <c r="HG29" s="233"/>
    </row>
    <row r="30" spans="2:215" ht="15" customHeight="1">
      <c r="B30" s="10"/>
      <c r="C30" s="161" t="s">
        <v>153</v>
      </c>
      <c r="D30" s="76">
        <f t="shared" si="150"/>
        <v>85980</v>
      </c>
      <c r="E30" s="73">
        <f>+'[2]2012(объемы годовые)'!M46</f>
        <v>41775</v>
      </c>
      <c r="F30" s="75">
        <f>+E30*$F$3</f>
        <v>23084.864999999998</v>
      </c>
      <c r="G30" s="75">
        <f>+E30*$G$3</f>
        <v>6228.6525000000001</v>
      </c>
      <c r="H30" s="75">
        <f>+E30*$H$3</f>
        <v>12461.4825</v>
      </c>
      <c r="I30" s="73">
        <f>+'[2]2012(объемы годовые)'!Q46+'[2]2012(объемы годовые)'!U46+'[2]2012(объемы годовые)'!Y46</f>
        <v>44205</v>
      </c>
      <c r="J30" s="75">
        <f>+I30*$J$3</f>
        <v>24427.683000000001</v>
      </c>
      <c r="K30" s="75">
        <f>+I30*$K$3</f>
        <v>6590.9655000000002</v>
      </c>
      <c r="L30" s="75">
        <f>+I30*$L$3</f>
        <v>13186.351500000001</v>
      </c>
      <c r="M30" s="76">
        <f>+'[5]тарифы (НВВ) население на 12%'!$M$55</f>
        <v>85980</v>
      </c>
      <c r="N30" s="73">
        <f t="shared" si="151"/>
        <v>41775</v>
      </c>
      <c r="O30" s="74">
        <v>24630.54</v>
      </c>
      <c r="P30" s="74"/>
      <c r="Q30" s="74">
        <v>17144.46</v>
      </c>
      <c r="R30" s="73">
        <f t="shared" si="152"/>
        <v>44205</v>
      </c>
      <c r="S30" s="74">
        <v>26063.268</v>
      </c>
      <c r="T30" s="74"/>
      <c r="U30" s="74">
        <v>18141.732</v>
      </c>
      <c r="V30" s="52">
        <v>800.15</v>
      </c>
      <c r="W30" s="52">
        <v>800.15</v>
      </c>
      <c r="X30" s="52">
        <f t="shared" si="153"/>
        <v>100</v>
      </c>
      <c r="Y30" s="52">
        <v>847.34</v>
      </c>
      <c r="Z30" s="22">
        <f t="shared" si="154"/>
        <v>105.89764419171405</v>
      </c>
      <c r="AA30" s="52">
        <v>888.04</v>
      </c>
      <c r="AB30" s="22">
        <f t="shared" si="155"/>
        <v>104.80326669341704</v>
      </c>
      <c r="AC30" s="52">
        <v>888.04</v>
      </c>
      <c r="AD30" s="52">
        <v>888.04</v>
      </c>
      <c r="AE30" s="22">
        <f t="shared" si="156"/>
        <v>111.69541912526464</v>
      </c>
      <c r="AF30" s="22">
        <v>991.9</v>
      </c>
      <c r="AG30" s="22">
        <f t="shared" si="128"/>
        <v>111.69541912526464</v>
      </c>
      <c r="AH30" s="22">
        <v>944.18</v>
      </c>
      <c r="AI30" s="22">
        <v>944.18</v>
      </c>
      <c r="AJ30" s="52">
        <f t="shared" si="157"/>
        <v>100</v>
      </c>
      <c r="AK30" s="22">
        <v>999.86</v>
      </c>
      <c r="AL30" s="22">
        <f t="shared" si="158"/>
        <v>105.89718062233896</v>
      </c>
      <c r="AM30" s="22">
        <v>1047.8900000000001</v>
      </c>
      <c r="AN30" s="22">
        <f t="shared" si="159"/>
        <v>104.803672514152</v>
      </c>
      <c r="AO30" s="22">
        <f t="shared" si="160"/>
        <v>110.98419046428793</v>
      </c>
      <c r="AP30" s="22">
        <f t="shared" si="161"/>
        <v>110.98413438115615</v>
      </c>
      <c r="AQ30" s="22">
        <v>1047.8900000000001</v>
      </c>
      <c r="AR30" s="22">
        <v>1047.8900000000001</v>
      </c>
      <c r="AS30" s="22">
        <f t="shared" si="146"/>
        <v>111.69492981133516</v>
      </c>
      <c r="AT30" s="22">
        <v>1170.44</v>
      </c>
      <c r="AU30" s="22">
        <f t="shared" si="129"/>
        <v>111.69492981133516</v>
      </c>
      <c r="AV30" s="77"/>
      <c r="AW30" s="77">
        <f t="shared" si="162"/>
        <v>95.560334038163219</v>
      </c>
      <c r="AX30" s="78" t="s">
        <v>180</v>
      </c>
      <c r="AY30" s="22">
        <f t="shared" si="4"/>
        <v>85.97999999999999</v>
      </c>
      <c r="AZ30" s="22">
        <f>+[6]БПр!$DH$246/1000</f>
        <v>41.774999999999999</v>
      </c>
      <c r="BA30" s="22">
        <f>+[6]БПр!$DG$246/1000</f>
        <v>8.3719999999999999</v>
      </c>
      <c r="BB30" s="22">
        <f>+[6]БПр!$DI$246/1000+[6]БПр!$CP$246/1000</f>
        <v>35.832999999999998</v>
      </c>
      <c r="BC30" s="22">
        <v>983.7</v>
      </c>
      <c r="BD30" s="22">
        <v>1003.02</v>
      </c>
      <c r="BE30" s="22">
        <f t="shared" si="1"/>
        <v>101.9640134187252</v>
      </c>
      <c r="BF30" s="22">
        <v>1160.77</v>
      </c>
      <c r="BG30" s="22">
        <v>1183.56</v>
      </c>
      <c r="BH30" s="22">
        <f t="shared" si="2"/>
        <v>101.96335191295434</v>
      </c>
      <c r="BI30" s="22">
        <f>+BD30-BG30/1.18</f>
        <v>3.0508474576436129E-3</v>
      </c>
      <c r="BJ30" s="40" t="s">
        <v>181</v>
      </c>
      <c r="BK30" s="19">
        <f t="shared" si="38"/>
        <v>68797.003207627116</v>
      </c>
      <c r="BL30" s="19">
        <f t="shared" si="163"/>
        <v>33426.37245762712</v>
      </c>
      <c r="BM30" s="19">
        <f t="shared" si="164"/>
        <v>0</v>
      </c>
      <c r="BN30" s="19">
        <f t="shared" si="165"/>
        <v>35370.630749999997</v>
      </c>
      <c r="BO30" s="19">
        <f t="shared" si="42"/>
        <v>72854.250716949158</v>
      </c>
      <c r="BP30" s="19">
        <f t="shared" si="166"/>
        <v>35397.586016949157</v>
      </c>
      <c r="BQ30" s="19">
        <f t="shared" si="167"/>
        <v>0</v>
      </c>
      <c r="BR30" s="19">
        <f t="shared" si="168"/>
        <v>37456.664700000001</v>
      </c>
      <c r="BS30" s="19">
        <f t="shared" si="46"/>
        <v>76353.778327118634</v>
      </c>
      <c r="BT30" s="19">
        <f t="shared" si="169"/>
        <v>37097.97012711865</v>
      </c>
      <c r="BU30" s="19">
        <f t="shared" si="170"/>
        <v>0</v>
      </c>
      <c r="BV30" s="19">
        <f t="shared" si="171"/>
        <v>39255.808199999992</v>
      </c>
      <c r="BW30" s="19">
        <f t="shared" si="172"/>
        <v>76353.778327118634</v>
      </c>
      <c r="BX30" s="19">
        <f t="shared" si="173"/>
        <v>37097.97012711865</v>
      </c>
      <c r="BY30" s="19">
        <f t="shared" si="174"/>
        <v>0</v>
      </c>
      <c r="BZ30" s="19">
        <f t="shared" si="175"/>
        <v>39255.808199999992</v>
      </c>
      <c r="CA30" s="19">
        <f t="shared" si="54"/>
        <v>85283.491194915259</v>
      </c>
      <c r="CB30" s="19">
        <f t="shared" si="176"/>
        <v>41436.551694915259</v>
      </c>
      <c r="CC30" s="19">
        <f t="shared" si="177"/>
        <v>0</v>
      </c>
      <c r="CD30" s="19">
        <f t="shared" si="178"/>
        <v>43846.9395</v>
      </c>
      <c r="CE30" s="48">
        <f t="shared" si="179"/>
        <v>800.14999999999986</v>
      </c>
      <c r="CF30" s="48">
        <f t="shared" si="180"/>
        <v>847.34</v>
      </c>
      <c r="CG30" s="48">
        <f t="shared" si="181"/>
        <v>888.03999999999985</v>
      </c>
      <c r="CH30" s="48">
        <f t="shared" si="182"/>
        <v>944.18</v>
      </c>
      <c r="CI30" s="48">
        <f t="shared" si="183"/>
        <v>999.86000000000013</v>
      </c>
      <c r="CJ30" s="48">
        <f t="shared" si="184"/>
        <v>1047.8900000000001</v>
      </c>
      <c r="CK30" s="48">
        <f t="shared" si="185"/>
        <v>800.15123525967806</v>
      </c>
      <c r="CL30" s="48">
        <f t="shared" si="186"/>
        <v>847.3395058961288</v>
      </c>
      <c r="CM30" s="48">
        <f t="shared" si="187"/>
        <v>888.04115290903269</v>
      </c>
      <c r="CN30" s="48">
        <f t="shared" si="188"/>
        <v>845.17729802161318</v>
      </c>
      <c r="CO30" s="48">
        <f t="shared" si="189"/>
        <v>888.03999999999985</v>
      </c>
      <c r="CP30" s="48">
        <f t="shared" si="190"/>
        <v>991.9</v>
      </c>
      <c r="CQ30" s="48">
        <f t="shared" si="191"/>
        <v>1047.8900000000001</v>
      </c>
      <c r="CR30" s="48">
        <f t="shared" si="192"/>
        <v>1170.44</v>
      </c>
      <c r="CS30" s="48">
        <f t="shared" si="193"/>
        <v>888.04115290903269</v>
      </c>
      <c r="CT30" s="48">
        <f t="shared" si="194"/>
        <v>991.899176493548</v>
      </c>
      <c r="CU30" s="48">
        <f t="shared" si="195"/>
        <v>939.9701647012904</v>
      </c>
      <c r="CV30" s="48">
        <f t="shared" si="75"/>
        <v>111.21573744367814</v>
      </c>
      <c r="CW30" s="19">
        <f t="shared" si="196"/>
        <v>34815.517984131351</v>
      </c>
      <c r="CX30" s="19">
        <f t="shared" si="197"/>
        <v>34815.436058399995</v>
      </c>
      <c r="CY30" s="19">
        <f t="shared" si="198"/>
        <v>38878.524002542377</v>
      </c>
      <c r="CZ30" s="19">
        <f t="shared" si="199"/>
        <v>38878.494615600001</v>
      </c>
      <c r="DA30" s="21">
        <f t="shared" si="80"/>
        <v>100.00023531439106</v>
      </c>
      <c r="DB30" s="21">
        <f t="shared" si="81"/>
        <v>100.00007558662615</v>
      </c>
      <c r="DC30" s="79">
        <f t="shared" si="5"/>
        <v>111.67010072997596</v>
      </c>
      <c r="DD30" s="79">
        <f t="shared" si="5"/>
        <v>111.67027909799711</v>
      </c>
      <c r="DE30" s="79">
        <f t="shared" si="200"/>
        <v>45018.129256319997</v>
      </c>
      <c r="DF30" s="79">
        <f t="shared" si="200"/>
        <v>0</v>
      </c>
      <c r="DG30" s="79">
        <f t="shared" si="201"/>
        <v>35000.373844799993</v>
      </c>
      <c r="DH30" s="51">
        <f t="shared" si="85"/>
        <v>80018.50310111999</v>
      </c>
      <c r="DI30" s="39"/>
      <c r="DJ30" s="80">
        <f t="shared" si="202"/>
        <v>38017.165282199996</v>
      </c>
      <c r="DK30" s="39">
        <f t="shared" si="203"/>
        <v>10862.575116120001</v>
      </c>
      <c r="DL30" s="39">
        <f t="shared" si="204"/>
        <v>22776.302505359999</v>
      </c>
      <c r="DM30" s="48">
        <f>+AT30-'[2]тарифы (12-13) население 15%'!AP52</f>
        <v>0</v>
      </c>
      <c r="DN30" s="39"/>
      <c r="DO30" s="39"/>
      <c r="DP30" s="39"/>
      <c r="DQ30" s="39"/>
      <c r="DR30" s="39"/>
      <c r="DS30" s="39"/>
      <c r="DT30" s="39"/>
      <c r="DU30" s="19">
        <f t="shared" si="89"/>
        <v>41094.20911016949</v>
      </c>
      <c r="DV30" s="40">
        <f t="shared" si="6"/>
        <v>41901.033050847458</v>
      </c>
      <c r="DW30" s="40">
        <f t="shared" si="7"/>
        <v>41901.160499999998</v>
      </c>
      <c r="DX30" s="21">
        <f>+'[1]тарифы (НВВ) население на 4,2%'!CO55</f>
        <v>100.00007558662615</v>
      </c>
      <c r="DY30" s="21">
        <f t="shared" si="8"/>
        <v>99.999695833836057</v>
      </c>
      <c r="DZ30" s="19">
        <f t="shared" si="9"/>
        <v>84.578525999999997</v>
      </c>
      <c r="EA30" s="19">
        <f t="shared" si="10"/>
        <v>86.239659599999982</v>
      </c>
      <c r="EB30" s="19"/>
      <c r="EC30" s="48"/>
      <c r="ED30" s="48"/>
      <c r="EE30" s="22">
        <v>1003.02</v>
      </c>
      <c r="EF30" s="22">
        <v>1083.46</v>
      </c>
      <c r="EG30" s="22">
        <f t="shared" si="13"/>
        <v>108.01978026360392</v>
      </c>
      <c r="EH30" s="22">
        <v>1183.56</v>
      </c>
      <c r="EI30" s="22">
        <v>1278.48</v>
      </c>
      <c r="EJ30" s="22">
        <f t="shared" si="14"/>
        <v>108.01987224982257</v>
      </c>
      <c r="EK30" s="40" t="s">
        <v>182</v>
      </c>
      <c r="EL30" s="19">
        <v>85.98</v>
      </c>
      <c r="EM30" s="19">
        <v>41.774999999999999</v>
      </c>
      <c r="EN30" s="40">
        <f t="shared" si="90"/>
        <v>45261.442372881356</v>
      </c>
      <c r="EO30" s="40">
        <f t="shared" si="91"/>
        <v>45261.541499999999</v>
      </c>
      <c r="EP30" s="40"/>
      <c r="EQ30" s="21">
        <f t="shared" si="92"/>
        <v>99.999780990405199</v>
      </c>
      <c r="ER30" s="21"/>
      <c r="ES30" s="19">
        <f t="shared" si="124"/>
        <v>86239.659599999999</v>
      </c>
      <c r="ET30" s="19"/>
      <c r="EU30" s="19">
        <f t="shared" si="20"/>
        <v>93155.890800000008</v>
      </c>
      <c r="EV30" s="21"/>
      <c r="EW30" s="166"/>
      <c r="EX30" s="39">
        <f t="shared" si="148"/>
        <v>86239.659599999984</v>
      </c>
      <c r="EY30" s="39">
        <f t="shared" si="149"/>
        <v>93155.890799999994</v>
      </c>
      <c r="EZ30" s="39"/>
      <c r="FA30" s="39"/>
      <c r="FB30" s="39"/>
      <c r="FC30" s="39"/>
      <c r="FD30" s="39"/>
      <c r="FE30" s="166"/>
      <c r="FF30" s="39"/>
      <c r="FG30" s="39"/>
      <c r="FH30" s="39"/>
      <c r="FI30" s="39"/>
      <c r="FJ30" s="19"/>
      <c r="FK30" s="19"/>
      <c r="FL30" s="19">
        <f t="shared" si="96"/>
        <v>0</v>
      </c>
      <c r="FM30" s="19">
        <v>85.98</v>
      </c>
      <c r="FN30" s="19">
        <v>41.78</v>
      </c>
      <c r="FO30" s="22">
        <v>1207.48</v>
      </c>
      <c r="FP30" s="22">
        <v>1240</v>
      </c>
      <c r="FQ30" s="22">
        <f t="shared" si="125"/>
        <v>102.69321230993474</v>
      </c>
      <c r="FR30" s="22">
        <v>1448.98</v>
      </c>
      <c r="FS30" s="22">
        <v>1488</v>
      </c>
      <c r="FT30" s="22">
        <f t="shared" si="126"/>
        <v>102.69292881889329</v>
      </c>
      <c r="FU30" s="40" t="s">
        <v>646</v>
      </c>
      <c r="FV30" s="19"/>
      <c r="FW30" s="19"/>
      <c r="FX30" s="19"/>
      <c r="FY30" s="19"/>
      <c r="FZ30" s="19"/>
      <c r="GA30" s="19"/>
      <c r="GB30" s="19"/>
      <c r="GC30" s="20"/>
      <c r="GD30" s="20"/>
      <c r="GE30" s="19"/>
      <c r="GF30" s="19"/>
      <c r="GG30" s="19"/>
      <c r="GH30" s="19"/>
      <c r="GI30" s="19"/>
      <c r="GJ30" s="21"/>
      <c r="GK30" s="19"/>
      <c r="GL30" s="19"/>
      <c r="GM30" s="19"/>
      <c r="GN30" s="19"/>
      <c r="GO30" s="22">
        <v>1240</v>
      </c>
      <c r="GP30" s="22">
        <v>1265.05</v>
      </c>
      <c r="GQ30" s="22"/>
      <c r="GR30" s="22">
        <v>1488</v>
      </c>
      <c r="GS30" s="22">
        <v>1518.06</v>
      </c>
      <c r="GT30" s="22"/>
      <c r="GU30" s="40" t="s">
        <v>646</v>
      </c>
      <c r="GV30" s="19"/>
      <c r="GW30" s="19"/>
      <c r="GX30" s="19"/>
      <c r="GY30" s="19"/>
      <c r="GZ30" s="23"/>
      <c r="HA30" s="22">
        <v>1265.05</v>
      </c>
      <c r="HB30" s="22">
        <v>1297.5</v>
      </c>
      <c r="HC30" s="22"/>
      <c r="HD30" s="22">
        <v>1518.06</v>
      </c>
      <c r="HE30" s="22">
        <v>1557</v>
      </c>
      <c r="HF30" s="22">
        <f t="shared" si="127"/>
        <v>102.56511600332003</v>
      </c>
      <c r="HG30" s="236" t="s">
        <v>646</v>
      </c>
    </row>
    <row r="31" spans="2:215" ht="15.75">
      <c r="B31" s="10"/>
      <c r="C31" s="186" t="s">
        <v>574</v>
      </c>
      <c r="D31" s="76"/>
      <c r="E31" s="73"/>
      <c r="F31" s="74"/>
      <c r="G31" s="74"/>
      <c r="H31" s="74"/>
      <c r="I31" s="73"/>
      <c r="J31" s="73"/>
      <c r="K31" s="73"/>
      <c r="L31" s="73"/>
      <c r="M31" s="76"/>
      <c r="N31" s="73"/>
      <c r="O31" s="76"/>
      <c r="P31" s="76"/>
      <c r="Q31" s="76"/>
      <c r="R31" s="73"/>
      <c r="S31" s="74"/>
      <c r="T31" s="74"/>
      <c r="U31" s="74"/>
      <c r="V31" s="52"/>
      <c r="W31" s="52"/>
      <c r="X31" s="52"/>
      <c r="Y31" s="52"/>
      <c r="Z31" s="22"/>
      <c r="AA31" s="52"/>
      <c r="AB31" s="22"/>
      <c r="AC31" s="52"/>
      <c r="AD31" s="52"/>
      <c r="AE31" s="22"/>
      <c r="AF31" s="22"/>
      <c r="AG31" s="22"/>
      <c r="AH31" s="22"/>
      <c r="AI31" s="22"/>
      <c r="AJ31" s="5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77"/>
      <c r="AW31" s="77"/>
      <c r="AX31" s="78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40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19"/>
      <c r="CX31" s="19"/>
      <c r="CY31" s="19"/>
      <c r="CZ31" s="19"/>
      <c r="DA31" s="21"/>
      <c r="DB31" s="21"/>
      <c r="DC31" s="79"/>
      <c r="DD31" s="79"/>
      <c r="DE31" s="79"/>
      <c r="DF31" s="79"/>
      <c r="DG31" s="79"/>
      <c r="DH31" s="51"/>
      <c r="DI31" s="39"/>
      <c r="DJ31" s="80"/>
      <c r="DK31" s="39"/>
      <c r="DL31" s="39"/>
      <c r="DM31" s="48"/>
      <c r="DN31" s="39"/>
      <c r="DO31" s="39"/>
      <c r="DP31" s="39"/>
      <c r="DQ31" s="39"/>
      <c r="DR31" s="39"/>
      <c r="DS31" s="39"/>
      <c r="DT31" s="39"/>
      <c r="DU31" s="19"/>
      <c r="DV31" s="40"/>
      <c r="DW31" s="40"/>
      <c r="DX31" s="21"/>
      <c r="DY31" s="21"/>
      <c r="DZ31" s="19"/>
      <c r="EA31" s="19"/>
      <c r="EB31" s="19"/>
      <c r="EC31" s="48"/>
      <c r="ED31" s="48"/>
      <c r="EE31" s="22"/>
      <c r="EF31" s="22"/>
      <c r="EG31" s="22"/>
      <c r="EH31" s="22"/>
      <c r="EI31" s="22"/>
      <c r="EJ31" s="22"/>
      <c r="EK31" s="40"/>
      <c r="EL31" s="19"/>
      <c r="EM31" s="19"/>
      <c r="EN31" s="40"/>
      <c r="EO31" s="40"/>
      <c r="EP31" s="40"/>
      <c r="EQ31" s="21"/>
      <c r="ER31" s="21"/>
      <c r="ES31" s="19"/>
      <c r="ET31" s="19"/>
      <c r="EU31" s="19"/>
      <c r="EV31" s="21"/>
      <c r="EW31" s="166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19"/>
      <c r="FK31" s="19"/>
      <c r="FL31" s="19"/>
      <c r="FM31" s="19"/>
      <c r="FN31" s="19"/>
      <c r="FO31" s="22"/>
      <c r="FP31" s="22"/>
      <c r="FQ31" s="22"/>
      <c r="FR31" s="22"/>
      <c r="FS31" s="22"/>
      <c r="FT31" s="22"/>
      <c r="FU31" s="40"/>
      <c r="FV31" s="19"/>
      <c r="FW31" s="19"/>
      <c r="FX31" s="19"/>
      <c r="FY31" s="19"/>
      <c r="FZ31" s="19"/>
      <c r="GA31" s="19"/>
      <c r="GB31" s="19"/>
      <c r="GC31" s="20"/>
      <c r="GD31" s="20"/>
      <c r="GE31" s="19"/>
      <c r="GF31" s="19"/>
      <c r="GG31" s="19"/>
      <c r="GH31" s="19"/>
      <c r="GI31" s="19"/>
      <c r="GJ31" s="21"/>
      <c r="GK31" s="19"/>
      <c r="GL31" s="19"/>
      <c r="GM31" s="19"/>
      <c r="GN31" s="19"/>
      <c r="GO31" s="22"/>
      <c r="GP31" s="22"/>
      <c r="GQ31" s="22"/>
      <c r="GR31" s="22"/>
      <c r="GS31" s="22"/>
      <c r="GT31" s="22"/>
      <c r="GU31" s="43"/>
      <c r="GV31" s="19"/>
      <c r="GW31" s="19"/>
      <c r="GX31" s="19"/>
      <c r="GY31" s="19"/>
      <c r="GZ31" s="23"/>
      <c r="HA31" s="22"/>
      <c r="HB31" s="22"/>
      <c r="HC31" s="22"/>
      <c r="HD31" s="22"/>
      <c r="HE31" s="22"/>
      <c r="HF31" s="22"/>
      <c r="HG31" s="233"/>
    </row>
    <row r="32" spans="2:215" ht="15.75">
      <c r="B32" s="10"/>
      <c r="C32" s="161" t="s">
        <v>153</v>
      </c>
      <c r="D32" s="76"/>
      <c r="E32" s="73"/>
      <c r="F32" s="74"/>
      <c r="G32" s="74"/>
      <c r="H32" s="74"/>
      <c r="I32" s="73"/>
      <c r="J32" s="73"/>
      <c r="K32" s="73"/>
      <c r="L32" s="73"/>
      <c r="M32" s="76"/>
      <c r="N32" s="73"/>
      <c r="O32" s="76"/>
      <c r="P32" s="76"/>
      <c r="Q32" s="76"/>
      <c r="R32" s="73"/>
      <c r="S32" s="74"/>
      <c r="T32" s="74"/>
      <c r="U32" s="74"/>
      <c r="V32" s="52"/>
      <c r="W32" s="52"/>
      <c r="X32" s="52"/>
      <c r="Y32" s="52"/>
      <c r="Z32" s="22"/>
      <c r="AA32" s="52"/>
      <c r="AB32" s="22"/>
      <c r="AC32" s="52"/>
      <c r="AD32" s="52"/>
      <c r="AE32" s="22"/>
      <c r="AF32" s="22"/>
      <c r="AG32" s="22"/>
      <c r="AH32" s="22"/>
      <c r="AI32" s="22"/>
      <c r="AJ32" s="5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77"/>
      <c r="AW32" s="77"/>
      <c r="AX32" s="78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40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19"/>
      <c r="CX32" s="19"/>
      <c r="CY32" s="19"/>
      <c r="CZ32" s="19"/>
      <c r="DA32" s="21"/>
      <c r="DB32" s="21"/>
      <c r="DC32" s="79"/>
      <c r="DD32" s="79"/>
      <c r="DE32" s="79"/>
      <c r="DF32" s="79"/>
      <c r="DG32" s="79"/>
      <c r="DH32" s="51"/>
      <c r="DI32" s="39"/>
      <c r="DJ32" s="80"/>
      <c r="DK32" s="39"/>
      <c r="DL32" s="39"/>
      <c r="DM32" s="48"/>
      <c r="DN32" s="39"/>
      <c r="DO32" s="39"/>
      <c r="DP32" s="39"/>
      <c r="DQ32" s="39"/>
      <c r="DR32" s="39"/>
      <c r="DS32" s="39"/>
      <c r="DT32" s="39"/>
      <c r="DU32" s="19"/>
      <c r="DV32" s="40"/>
      <c r="DW32" s="40"/>
      <c r="DX32" s="21"/>
      <c r="DY32" s="21"/>
      <c r="DZ32" s="19"/>
      <c r="EA32" s="19"/>
      <c r="EB32" s="19"/>
      <c r="EC32" s="48"/>
      <c r="ED32" s="48"/>
      <c r="EE32" s="22"/>
      <c r="EF32" s="22"/>
      <c r="EG32" s="22"/>
      <c r="EH32" s="22"/>
      <c r="EI32" s="22"/>
      <c r="EJ32" s="22"/>
      <c r="EK32" s="40"/>
      <c r="EL32" s="19"/>
      <c r="EM32" s="19"/>
      <c r="EN32" s="40"/>
      <c r="EO32" s="40"/>
      <c r="EP32" s="40"/>
      <c r="EQ32" s="21"/>
      <c r="ER32" s="21"/>
      <c r="ES32" s="19"/>
      <c r="ET32" s="19"/>
      <c r="EU32" s="19"/>
      <c r="EV32" s="21"/>
      <c r="EW32" s="166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19"/>
      <c r="FK32" s="19"/>
      <c r="FL32" s="19"/>
      <c r="FM32" s="19"/>
      <c r="FN32" s="19"/>
      <c r="FO32" s="22">
        <v>2862.99</v>
      </c>
      <c r="FP32" s="22">
        <v>2940.25</v>
      </c>
      <c r="FQ32" s="22"/>
      <c r="FR32" s="22">
        <v>1181.32</v>
      </c>
      <c r="FS32" s="22">
        <v>1213.0999999999999</v>
      </c>
      <c r="FT32" s="22"/>
      <c r="FU32" s="40" t="s">
        <v>647</v>
      </c>
      <c r="FV32" s="19"/>
      <c r="FW32" s="19"/>
      <c r="FX32" s="19"/>
      <c r="FY32" s="19"/>
      <c r="FZ32" s="19"/>
      <c r="GA32" s="19"/>
      <c r="GB32" s="19"/>
      <c r="GC32" s="20"/>
      <c r="GD32" s="20"/>
      <c r="GE32" s="19"/>
      <c r="GF32" s="19"/>
      <c r="GG32" s="19"/>
      <c r="GH32" s="19"/>
      <c r="GI32" s="19"/>
      <c r="GJ32" s="21"/>
      <c r="GK32" s="19"/>
      <c r="GL32" s="19"/>
      <c r="GM32" s="19"/>
      <c r="GN32" s="19"/>
      <c r="GO32" s="22">
        <v>2957.08</v>
      </c>
      <c r="GP32" s="22">
        <v>3061.89</v>
      </c>
      <c r="GQ32" s="22"/>
      <c r="GR32" s="22">
        <v>1208.1600000000001</v>
      </c>
      <c r="GS32" s="22">
        <v>1256.49</v>
      </c>
      <c r="GT32" s="22"/>
      <c r="GU32" s="40" t="s">
        <v>647</v>
      </c>
      <c r="GV32" s="19"/>
      <c r="GW32" s="19"/>
      <c r="GX32" s="19"/>
      <c r="GY32" s="19"/>
      <c r="GZ32" s="23"/>
      <c r="HA32" s="22" t="s">
        <v>633</v>
      </c>
      <c r="HB32" s="22" t="s">
        <v>633</v>
      </c>
      <c r="HC32" s="22"/>
      <c r="HD32" s="22" t="s">
        <v>633</v>
      </c>
      <c r="HE32" s="22" t="s">
        <v>633</v>
      </c>
      <c r="HF32" s="22"/>
      <c r="HG32" s="233" t="s">
        <v>633</v>
      </c>
    </row>
    <row r="33" spans="2:215" ht="15.75">
      <c r="B33" s="10"/>
      <c r="C33" s="184" t="s">
        <v>131</v>
      </c>
      <c r="D33" s="76"/>
      <c r="E33" s="73"/>
      <c r="F33" s="74"/>
      <c r="G33" s="74"/>
      <c r="H33" s="74"/>
      <c r="I33" s="73"/>
      <c r="J33" s="73"/>
      <c r="K33" s="73"/>
      <c r="L33" s="73"/>
      <c r="M33" s="76"/>
      <c r="N33" s="73"/>
      <c r="O33" s="76"/>
      <c r="P33" s="76"/>
      <c r="Q33" s="76"/>
      <c r="R33" s="73"/>
      <c r="S33" s="74"/>
      <c r="T33" s="74"/>
      <c r="U33" s="74"/>
      <c r="V33" s="52"/>
      <c r="W33" s="52"/>
      <c r="X33" s="52"/>
      <c r="Y33" s="52"/>
      <c r="Z33" s="22"/>
      <c r="AA33" s="52"/>
      <c r="AB33" s="22"/>
      <c r="AC33" s="52"/>
      <c r="AD33" s="52"/>
      <c r="AE33" s="22"/>
      <c r="AF33" s="22"/>
      <c r="AG33" s="22"/>
      <c r="AH33" s="22"/>
      <c r="AI33" s="22"/>
      <c r="AJ33" s="5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77"/>
      <c r="AW33" s="77"/>
      <c r="AX33" s="78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40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19"/>
      <c r="CX33" s="19"/>
      <c r="CY33" s="19"/>
      <c r="CZ33" s="19"/>
      <c r="DA33" s="21"/>
      <c r="DB33" s="21"/>
      <c r="DC33" s="79"/>
      <c r="DD33" s="79"/>
      <c r="DE33" s="79"/>
      <c r="DF33" s="79"/>
      <c r="DG33" s="79"/>
      <c r="DH33" s="51"/>
      <c r="DI33" s="39"/>
      <c r="DJ33" s="80"/>
      <c r="DK33" s="39"/>
      <c r="DL33" s="39"/>
      <c r="DM33" s="48"/>
      <c r="DN33" s="39"/>
      <c r="DO33" s="39"/>
      <c r="DP33" s="39"/>
      <c r="DQ33" s="39"/>
      <c r="DR33" s="39"/>
      <c r="DS33" s="39"/>
      <c r="DT33" s="39"/>
      <c r="DU33" s="19"/>
      <c r="DV33" s="40"/>
      <c r="DW33" s="40"/>
      <c r="DX33" s="21"/>
      <c r="DY33" s="21"/>
      <c r="DZ33" s="19"/>
      <c r="EA33" s="19"/>
      <c r="EB33" s="19"/>
      <c r="EC33" s="48"/>
      <c r="ED33" s="48"/>
      <c r="EE33" s="22"/>
      <c r="EF33" s="22"/>
      <c r="EG33" s="22"/>
      <c r="EH33" s="22"/>
      <c r="EI33" s="22"/>
      <c r="EJ33" s="22"/>
      <c r="EK33" s="40"/>
      <c r="EL33" s="19"/>
      <c r="EM33" s="19"/>
      <c r="EN33" s="40"/>
      <c r="EO33" s="40"/>
      <c r="EP33" s="40"/>
      <c r="EQ33" s="21"/>
      <c r="ER33" s="21"/>
      <c r="ES33" s="19"/>
      <c r="ET33" s="19"/>
      <c r="EU33" s="19"/>
      <c r="EV33" s="21"/>
      <c r="EW33" s="166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19"/>
      <c r="FK33" s="19"/>
      <c r="FL33" s="19"/>
      <c r="FM33" s="19"/>
      <c r="FN33" s="19"/>
      <c r="FO33" s="22">
        <v>21.26</v>
      </c>
      <c r="FP33" s="22">
        <v>21.69</v>
      </c>
      <c r="FQ33" s="22"/>
      <c r="FR33" s="22">
        <v>25.51</v>
      </c>
      <c r="FS33" s="22">
        <v>26.03</v>
      </c>
      <c r="FT33" s="22"/>
      <c r="FU33" s="40" t="s">
        <v>648</v>
      </c>
      <c r="FV33" s="19"/>
      <c r="FW33" s="19"/>
      <c r="FX33" s="19"/>
      <c r="FY33" s="19"/>
      <c r="FZ33" s="19"/>
      <c r="GA33" s="19"/>
      <c r="GB33" s="19"/>
      <c r="GC33" s="20"/>
      <c r="GD33" s="20"/>
      <c r="GE33" s="19"/>
      <c r="GF33" s="19"/>
      <c r="GG33" s="19"/>
      <c r="GH33" s="19"/>
      <c r="GI33" s="19"/>
      <c r="GJ33" s="21"/>
      <c r="GK33" s="19"/>
      <c r="GL33" s="19"/>
      <c r="GM33" s="19"/>
      <c r="GN33" s="19"/>
      <c r="GO33" s="22">
        <v>21.89</v>
      </c>
      <c r="GP33" s="22">
        <v>22.66</v>
      </c>
      <c r="GQ33" s="22"/>
      <c r="GR33" s="22">
        <v>25.83</v>
      </c>
      <c r="GS33" s="22">
        <v>26.03</v>
      </c>
      <c r="GT33" s="22"/>
      <c r="GU33" s="40" t="s">
        <v>648</v>
      </c>
      <c r="GV33" s="19"/>
      <c r="GW33" s="19"/>
      <c r="GX33" s="19"/>
      <c r="GY33" s="19"/>
      <c r="GZ33" s="23"/>
      <c r="HA33" s="22" t="s">
        <v>633</v>
      </c>
      <c r="HB33" s="22" t="s">
        <v>633</v>
      </c>
      <c r="HC33" s="22"/>
      <c r="HD33" s="22" t="s">
        <v>633</v>
      </c>
      <c r="HE33" s="22" t="s">
        <v>633</v>
      </c>
      <c r="HF33" s="22"/>
      <c r="HG33" s="233" t="s">
        <v>633</v>
      </c>
    </row>
    <row r="34" spans="2:215" ht="15.75">
      <c r="B34" s="10"/>
      <c r="C34" s="184" t="s">
        <v>587</v>
      </c>
      <c r="D34" s="76"/>
      <c r="E34" s="73"/>
      <c r="F34" s="74"/>
      <c r="G34" s="74"/>
      <c r="H34" s="74"/>
      <c r="I34" s="73"/>
      <c r="J34" s="73"/>
      <c r="K34" s="73"/>
      <c r="L34" s="73"/>
      <c r="M34" s="76"/>
      <c r="N34" s="73"/>
      <c r="O34" s="76"/>
      <c r="P34" s="76"/>
      <c r="Q34" s="76"/>
      <c r="R34" s="73"/>
      <c r="S34" s="74"/>
      <c r="T34" s="74"/>
      <c r="U34" s="74"/>
      <c r="V34" s="52"/>
      <c r="W34" s="52"/>
      <c r="X34" s="52"/>
      <c r="Y34" s="52"/>
      <c r="Z34" s="22"/>
      <c r="AA34" s="52"/>
      <c r="AB34" s="22"/>
      <c r="AC34" s="52"/>
      <c r="AD34" s="52"/>
      <c r="AE34" s="22"/>
      <c r="AF34" s="22"/>
      <c r="AG34" s="22"/>
      <c r="AH34" s="22"/>
      <c r="AI34" s="22"/>
      <c r="AJ34" s="5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77"/>
      <c r="AW34" s="77"/>
      <c r="AX34" s="78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40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19"/>
      <c r="CX34" s="19"/>
      <c r="CY34" s="19"/>
      <c r="CZ34" s="19"/>
      <c r="DA34" s="21"/>
      <c r="DB34" s="21"/>
      <c r="DC34" s="79"/>
      <c r="DD34" s="79"/>
      <c r="DE34" s="79"/>
      <c r="DF34" s="79"/>
      <c r="DG34" s="79"/>
      <c r="DH34" s="51"/>
      <c r="DI34" s="39"/>
      <c r="DJ34" s="80"/>
      <c r="DK34" s="39"/>
      <c r="DL34" s="39"/>
      <c r="DM34" s="48"/>
      <c r="DN34" s="39"/>
      <c r="DO34" s="39"/>
      <c r="DP34" s="39"/>
      <c r="DQ34" s="39"/>
      <c r="DR34" s="39"/>
      <c r="DS34" s="39"/>
      <c r="DT34" s="39"/>
      <c r="DU34" s="19"/>
      <c r="DV34" s="40"/>
      <c r="DW34" s="40"/>
      <c r="DX34" s="21"/>
      <c r="DY34" s="21"/>
      <c r="DZ34" s="19"/>
      <c r="EA34" s="19"/>
      <c r="EB34" s="19"/>
      <c r="EC34" s="48"/>
      <c r="ED34" s="48"/>
      <c r="EE34" s="22"/>
      <c r="EF34" s="22"/>
      <c r="EG34" s="22"/>
      <c r="EH34" s="22"/>
      <c r="EI34" s="22"/>
      <c r="EJ34" s="22"/>
      <c r="EK34" s="40"/>
      <c r="EL34" s="19"/>
      <c r="EM34" s="19"/>
      <c r="EN34" s="40"/>
      <c r="EO34" s="40"/>
      <c r="EP34" s="40"/>
      <c r="EQ34" s="21"/>
      <c r="ER34" s="21"/>
      <c r="ES34" s="19"/>
      <c r="ET34" s="19"/>
      <c r="EU34" s="19"/>
      <c r="EV34" s="21"/>
      <c r="EW34" s="166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19"/>
      <c r="FK34" s="19"/>
      <c r="FL34" s="19"/>
      <c r="FM34" s="19"/>
      <c r="FN34" s="19"/>
      <c r="FO34" s="22">
        <v>6.42</v>
      </c>
      <c r="FP34" s="22">
        <v>6.52</v>
      </c>
      <c r="FQ34" s="22"/>
      <c r="FR34" s="22">
        <v>7.7</v>
      </c>
      <c r="FS34" s="22">
        <v>7.82</v>
      </c>
      <c r="FT34" s="22"/>
      <c r="FU34" s="40" t="s">
        <v>648</v>
      </c>
      <c r="FV34" s="19"/>
      <c r="FW34" s="19"/>
      <c r="FX34" s="19"/>
      <c r="FY34" s="19"/>
      <c r="FZ34" s="19"/>
      <c r="GA34" s="19"/>
      <c r="GB34" s="19"/>
      <c r="GC34" s="20"/>
      <c r="GD34" s="20"/>
      <c r="GE34" s="19"/>
      <c r="GF34" s="19"/>
      <c r="GG34" s="19"/>
      <c r="GH34" s="19"/>
      <c r="GI34" s="19"/>
      <c r="GJ34" s="21"/>
      <c r="GK34" s="19"/>
      <c r="GL34" s="19"/>
      <c r="GM34" s="19"/>
      <c r="GN34" s="19"/>
      <c r="GO34" s="22">
        <v>6.61</v>
      </c>
      <c r="GP34" s="22">
        <v>6.81</v>
      </c>
      <c r="GQ34" s="22"/>
      <c r="GR34" s="22">
        <v>7.8</v>
      </c>
      <c r="GS34" s="22">
        <v>8.0399999999999991</v>
      </c>
      <c r="GT34" s="22"/>
      <c r="GU34" s="40" t="s">
        <v>648</v>
      </c>
      <c r="GV34" s="19"/>
      <c r="GW34" s="19"/>
      <c r="GX34" s="19"/>
      <c r="GY34" s="19"/>
      <c r="GZ34" s="23"/>
      <c r="HA34" s="22" t="s">
        <v>633</v>
      </c>
      <c r="HB34" s="22" t="s">
        <v>633</v>
      </c>
      <c r="HC34" s="22"/>
      <c r="HD34" s="22" t="s">
        <v>633</v>
      </c>
      <c r="HE34" s="22" t="s">
        <v>633</v>
      </c>
      <c r="HF34" s="22"/>
      <c r="HG34" s="233" t="s">
        <v>633</v>
      </c>
    </row>
    <row r="35" spans="2:215" ht="15.75">
      <c r="B35" s="10" t="s">
        <v>183</v>
      </c>
      <c r="C35" s="81" t="s">
        <v>607</v>
      </c>
      <c r="D35" s="76"/>
      <c r="E35" s="73"/>
      <c r="F35" s="74"/>
      <c r="G35" s="74"/>
      <c r="H35" s="74"/>
      <c r="I35" s="73"/>
      <c r="J35" s="73"/>
      <c r="K35" s="73"/>
      <c r="L35" s="73"/>
      <c r="M35" s="76"/>
      <c r="N35" s="73"/>
      <c r="O35" s="76"/>
      <c r="P35" s="76"/>
      <c r="Q35" s="76"/>
      <c r="R35" s="73"/>
      <c r="S35" s="74"/>
      <c r="T35" s="74"/>
      <c r="U35" s="74"/>
      <c r="V35" s="52"/>
      <c r="W35" s="52"/>
      <c r="X35" s="52"/>
      <c r="Y35" s="52"/>
      <c r="Z35" s="22"/>
      <c r="AA35" s="52"/>
      <c r="AB35" s="22"/>
      <c r="AC35" s="52"/>
      <c r="AD35" s="52"/>
      <c r="AE35" s="22"/>
      <c r="AF35" s="22"/>
      <c r="AG35" s="22"/>
      <c r="AH35" s="22"/>
      <c r="AI35" s="22"/>
      <c r="AJ35" s="5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77"/>
      <c r="AW35" s="77"/>
      <c r="AX35" s="78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40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19"/>
      <c r="CX35" s="19"/>
      <c r="CY35" s="19"/>
      <c r="CZ35" s="19"/>
      <c r="DA35" s="21"/>
      <c r="DB35" s="21"/>
      <c r="DC35" s="79"/>
      <c r="DD35" s="79"/>
      <c r="DE35" s="79"/>
      <c r="DF35" s="79"/>
      <c r="DG35" s="79"/>
      <c r="DH35" s="51"/>
      <c r="DI35" s="39"/>
      <c r="DJ35" s="80"/>
      <c r="DK35" s="39"/>
      <c r="DL35" s="39"/>
      <c r="DM35" s="48"/>
      <c r="DN35" s="39"/>
      <c r="DO35" s="39"/>
      <c r="DP35" s="39"/>
      <c r="DQ35" s="39"/>
      <c r="DR35" s="39"/>
      <c r="DS35" s="39"/>
      <c r="DT35" s="39"/>
      <c r="DU35" s="19"/>
      <c r="DV35" s="40"/>
      <c r="DW35" s="40"/>
      <c r="DX35" s="21"/>
      <c r="DY35" s="21"/>
      <c r="DZ35" s="19"/>
      <c r="EA35" s="19"/>
      <c r="EB35" s="19"/>
      <c r="EC35" s="48"/>
      <c r="ED35" s="48"/>
      <c r="EE35" s="22"/>
      <c r="EF35" s="22"/>
      <c r="EG35" s="22"/>
      <c r="EH35" s="22"/>
      <c r="EI35" s="22"/>
      <c r="EJ35" s="22"/>
      <c r="EK35" s="40"/>
      <c r="EL35" s="19"/>
      <c r="EM35" s="19"/>
      <c r="EN35" s="40"/>
      <c r="EO35" s="40"/>
      <c r="EP35" s="40"/>
      <c r="EQ35" s="21"/>
      <c r="ER35" s="21"/>
      <c r="ES35" s="19"/>
      <c r="ET35" s="19"/>
      <c r="EU35" s="19"/>
      <c r="EV35" s="21"/>
      <c r="EW35" s="166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19"/>
      <c r="FK35" s="19"/>
      <c r="FL35" s="19"/>
      <c r="FM35" s="19"/>
      <c r="FN35" s="19"/>
      <c r="FO35" s="22"/>
      <c r="FP35" s="22"/>
      <c r="FQ35" s="22"/>
      <c r="FR35" s="22"/>
      <c r="FS35" s="22"/>
      <c r="FT35" s="22"/>
      <c r="FU35" s="40"/>
      <c r="FV35" s="19"/>
      <c r="FW35" s="19"/>
      <c r="FX35" s="19"/>
      <c r="FY35" s="19"/>
      <c r="FZ35" s="19"/>
      <c r="GA35" s="19"/>
      <c r="GB35" s="19"/>
      <c r="GC35" s="20"/>
      <c r="GD35" s="20"/>
      <c r="GE35" s="19"/>
      <c r="GF35" s="19"/>
      <c r="GG35" s="19"/>
      <c r="GH35" s="19"/>
      <c r="GI35" s="19"/>
      <c r="GJ35" s="21"/>
      <c r="GK35" s="19"/>
      <c r="GL35" s="19"/>
      <c r="GM35" s="19"/>
      <c r="GN35" s="19"/>
      <c r="GO35" s="22"/>
      <c r="GP35" s="22"/>
      <c r="GQ35" s="22">
        <f t="shared" si="140"/>
        <v>0</v>
      </c>
      <c r="GR35" s="22"/>
      <c r="GS35" s="22"/>
      <c r="GT35" s="22"/>
      <c r="GU35" s="43"/>
      <c r="GV35" s="19"/>
      <c r="GW35" s="19"/>
      <c r="GX35" s="19"/>
      <c r="GY35" s="19"/>
      <c r="GZ35" s="23"/>
      <c r="HA35" s="22"/>
      <c r="HB35" s="22"/>
      <c r="HC35" s="22">
        <f t="shared" si="145"/>
        <v>0</v>
      </c>
      <c r="HD35" s="22"/>
      <c r="HE35" s="22"/>
      <c r="HF35" s="22"/>
      <c r="HG35" s="233"/>
    </row>
    <row r="36" spans="2:215" ht="15.75">
      <c r="B36" s="10"/>
      <c r="C36" s="161" t="s">
        <v>153</v>
      </c>
      <c r="D36" s="76"/>
      <c r="E36" s="73"/>
      <c r="F36" s="74"/>
      <c r="G36" s="74"/>
      <c r="H36" s="74"/>
      <c r="I36" s="73"/>
      <c r="J36" s="73"/>
      <c r="K36" s="73"/>
      <c r="L36" s="73"/>
      <c r="M36" s="76"/>
      <c r="N36" s="73"/>
      <c r="O36" s="76"/>
      <c r="P36" s="76"/>
      <c r="Q36" s="76"/>
      <c r="R36" s="73"/>
      <c r="S36" s="74"/>
      <c r="T36" s="74"/>
      <c r="U36" s="74"/>
      <c r="V36" s="52"/>
      <c r="W36" s="52"/>
      <c r="X36" s="52"/>
      <c r="Y36" s="52"/>
      <c r="Z36" s="22"/>
      <c r="AA36" s="52"/>
      <c r="AB36" s="22"/>
      <c r="AC36" s="52"/>
      <c r="AD36" s="52"/>
      <c r="AE36" s="22"/>
      <c r="AF36" s="22"/>
      <c r="AG36" s="22"/>
      <c r="AH36" s="22"/>
      <c r="AI36" s="22"/>
      <c r="AJ36" s="5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77"/>
      <c r="AW36" s="77"/>
      <c r="AX36" s="78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40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19"/>
      <c r="CX36" s="19"/>
      <c r="CY36" s="19"/>
      <c r="CZ36" s="19"/>
      <c r="DA36" s="21"/>
      <c r="DB36" s="21"/>
      <c r="DC36" s="79"/>
      <c r="DD36" s="79"/>
      <c r="DE36" s="79"/>
      <c r="DF36" s="79"/>
      <c r="DG36" s="79"/>
      <c r="DH36" s="51"/>
      <c r="DI36" s="39"/>
      <c r="DJ36" s="80"/>
      <c r="DK36" s="39"/>
      <c r="DL36" s="39"/>
      <c r="DM36" s="48"/>
      <c r="DN36" s="39"/>
      <c r="DO36" s="39"/>
      <c r="DP36" s="39"/>
      <c r="DQ36" s="39"/>
      <c r="DR36" s="39"/>
      <c r="DS36" s="39"/>
      <c r="DT36" s="39"/>
      <c r="DU36" s="19"/>
      <c r="DV36" s="40"/>
      <c r="DW36" s="40"/>
      <c r="DX36" s="21"/>
      <c r="DY36" s="21"/>
      <c r="DZ36" s="19"/>
      <c r="EA36" s="19"/>
      <c r="EB36" s="19"/>
      <c r="EC36" s="48"/>
      <c r="ED36" s="48"/>
      <c r="EE36" s="22"/>
      <c r="EF36" s="22"/>
      <c r="EG36" s="22"/>
      <c r="EH36" s="22"/>
      <c r="EI36" s="22"/>
      <c r="EJ36" s="22"/>
      <c r="EK36" s="40"/>
      <c r="EL36" s="19"/>
      <c r="EM36" s="19"/>
      <c r="EN36" s="40"/>
      <c r="EO36" s="40"/>
      <c r="EP36" s="40"/>
      <c r="EQ36" s="21"/>
      <c r="ER36" s="21"/>
      <c r="ES36" s="19"/>
      <c r="ET36" s="19"/>
      <c r="EU36" s="19"/>
      <c r="EV36" s="21"/>
      <c r="EW36" s="166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19"/>
      <c r="FK36" s="19"/>
      <c r="FL36" s="19"/>
      <c r="FM36" s="19"/>
      <c r="FN36" s="19"/>
      <c r="FO36" s="22">
        <v>9959.61</v>
      </c>
      <c r="FP36" s="22">
        <v>10382.51</v>
      </c>
      <c r="FQ36" s="22"/>
      <c r="FR36" s="22" t="s">
        <v>633</v>
      </c>
      <c r="FS36" s="22" t="s">
        <v>633</v>
      </c>
      <c r="FT36" s="22"/>
      <c r="FU36" s="40" t="s">
        <v>657</v>
      </c>
      <c r="FV36" s="19"/>
      <c r="FW36" s="19"/>
      <c r="FX36" s="19"/>
      <c r="FY36" s="19"/>
      <c r="FZ36" s="19"/>
      <c r="GA36" s="19"/>
      <c r="GB36" s="19"/>
      <c r="GC36" s="20"/>
      <c r="GD36" s="20"/>
      <c r="GE36" s="19"/>
      <c r="GF36" s="19"/>
      <c r="GG36" s="19"/>
      <c r="GH36" s="19"/>
      <c r="GI36" s="19"/>
      <c r="GJ36" s="21"/>
      <c r="GK36" s="19"/>
      <c r="GL36" s="19"/>
      <c r="GM36" s="19"/>
      <c r="GN36" s="19"/>
      <c r="GO36" s="22">
        <v>10382.51</v>
      </c>
      <c r="GP36" s="22">
        <v>10697.6</v>
      </c>
      <c r="GQ36" s="22"/>
      <c r="GR36" s="22" t="s">
        <v>633</v>
      </c>
      <c r="GS36" s="22" t="s">
        <v>633</v>
      </c>
      <c r="GT36" s="22"/>
      <c r="GU36" s="40" t="s">
        <v>657</v>
      </c>
      <c r="GV36" s="19"/>
      <c r="GW36" s="19"/>
      <c r="GX36" s="19"/>
      <c r="GY36" s="19"/>
      <c r="GZ36" s="23"/>
      <c r="HA36" s="22">
        <v>10697.6</v>
      </c>
      <c r="HB36" s="22">
        <v>11037.88</v>
      </c>
      <c r="HC36" s="22"/>
      <c r="HD36" s="22" t="s">
        <v>633</v>
      </c>
      <c r="HE36" s="22" t="s">
        <v>633</v>
      </c>
      <c r="HF36" s="22"/>
      <c r="HG36" s="236" t="s">
        <v>657</v>
      </c>
    </row>
    <row r="37" spans="2:215" ht="15.75">
      <c r="B37" s="10"/>
      <c r="C37" s="184" t="s">
        <v>155</v>
      </c>
      <c r="D37" s="76"/>
      <c r="E37" s="73"/>
      <c r="F37" s="74"/>
      <c r="G37" s="74"/>
      <c r="H37" s="74"/>
      <c r="I37" s="73"/>
      <c r="J37" s="73"/>
      <c r="K37" s="73"/>
      <c r="L37" s="73"/>
      <c r="M37" s="76"/>
      <c r="N37" s="73"/>
      <c r="O37" s="76"/>
      <c r="P37" s="76"/>
      <c r="Q37" s="76"/>
      <c r="R37" s="73"/>
      <c r="S37" s="74"/>
      <c r="T37" s="74"/>
      <c r="U37" s="74"/>
      <c r="V37" s="52"/>
      <c r="W37" s="52"/>
      <c r="X37" s="52"/>
      <c r="Y37" s="52"/>
      <c r="Z37" s="22"/>
      <c r="AA37" s="52"/>
      <c r="AB37" s="22"/>
      <c r="AC37" s="52"/>
      <c r="AD37" s="52"/>
      <c r="AE37" s="22"/>
      <c r="AF37" s="22"/>
      <c r="AG37" s="22"/>
      <c r="AH37" s="22"/>
      <c r="AI37" s="22"/>
      <c r="AJ37" s="5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77"/>
      <c r="AW37" s="77"/>
      <c r="AX37" s="78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40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19"/>
      <c r="CX37" s="19"/>
      <c r="CY37" s="19"/>
      <c r="CZ37" s="19"/>
      <c r="DA37" s="21"/>
      <c r="DB37" s="21"/>
      <c r="DC37" s="79"/>
      <c r="DD37" s="79"/>
      <c r="DE37" s="79"/>
      <c r="DF37" s="79"/>
      <c r="DG37" s="79"/>
      <c r="DH37" s="51"/>
      <c r="DI37" s="39"/>
      <c r="DJ37" s="80"/>
      <c r="DK37" s="39"/>
      <c r="DL37" s="39"/>
      <c r="DM37" s="48"/>
      <c r="DN37" s="39"/>
      <c r="DO37" s="39"/>
      <c r="DP37" s="39"/>
      <c r="DQ37" s="39"/>
      <c r="DR37" s="39"/>
      <c r="DS37" s="39"/>
      <c r="DT37" s="39"/>
      <c r="DU37" s="19"/>
      <c r="DV37" s="40"/>
      <c r="DW37" s="40"/>
      <c r="DX37" s="21"/>
      <c r="DY37" s="21"/>
      <c r="DZ37" s="19"/>
      <c r="EA37" s="19"/>
      <c r="EB37" s="19"/>
      <c r="EC37" s="48"/>
      <c r="ED37" s="48"/>
      <c r="EE37" s="22"/>
      <c r="EF37" s="22"/>
      <c r="EG37" s="22"/>
      <c r="EH37" s="22"/>
      <c r="EI37" s="22"/>
      <c r="EJ37" s="22"/>
      <c r="EK37" s="40"/>
      <c r="EL37" s="19"/>
      <c r="EM37" s="19"/>
      <c r="EN37" s="40"/>
      <c r="EO37" s="40"/>
      <c r="EP37" s="40"/>
      <c r="EQ37" s="21"/>
      <c r="ER37" s="21"/>
      <c r="ES37" s="19"/>
      <c r="ET37" s="19"/>
      <c r="EU37" s="19"/>
      <c r="EV37" s="21"/>
      <c r="EW37" s="166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19"/>
      <c r="FK37" s="19"/>
      <c r="FL37" s="19"/>
      <c r="FM37" s="19"/>
      <c r="FN37" s="19"/>
      <c r="FO37" s="22">
        <v>627.11</v>
      </c>
      <c r="FP37" s="22">
        <v>653.01</v>
      </c>
      <c r="FQ37" s="22"/>
      <c r="FR37" s="22" t="s">
        <v>633</v>
      </c>
      <c r="FS37" s="22" t="s">
        <v>633</v>
      </c>
      <c r="FT37" s="22"/>
      <c r="FU37" s="40" t="s">
        <v>684</v>
      </c>
      <c r="FV37" s="19"/>
      <c r="FW37" s="19"/>
      <c r="FX37" s="19"/>
      <c r="FY37" s="19"/>
      <c r="FZ37" s="19"/>
      <c r="GA37" s="19"/>
      <c r="GB37" s="19"/>
      <c r="GC37" s="20"/>
      <c r="GD37" s="20"/>
      <c r="GE37" s="19"/>
      <c r="GF37" s="19"/>
      <c r="GG37" s="19"/>
      <c r="GH37" s="19"/>
      <c r="GI37" s="19"/>
      <c r="GJ37" s="21"/>
      <c r="GK37" s="19"/>
      <c r="GL37" s="19"/>
      <c r="GM37" s="19"/>
      <c r="GN37" s="19"/>
      <c r="GO37" s="22">
        <v>653.01</v>
      </c>
      <c r="GP37" s="22">
        <v>677.82</v>
      </c>
      <c r="GQ37" s="22"/>
      <c r="GR37" s="22" t="s">
        <v>633</v>
      </c>
      <c r="GS37" s="22" t="s">
        <v>633</v>
      </c>
      <c r="GT37" s="22"/>
      <c r="GU37" s="40" t="s">
        <v>684</v>
      </c>
      <c r="GV37" s="19"/>
      <c r="GW37" s="19"/>
      <c r="GX37" s="19"/>
      <c r="GY37" s="19"/>
      <c r="GZ37" s="23"/>
      <c r="HA37" s="22">
        <v>677.82</v>
      </c>
      <c r="HB37" s="22">
        <v>704.93</v>
      </c>
      <c r="HC37" s="22"/>
      <c r="HD37" s="22" t="s">
        <v>633</v>
      </c>
      <c r="HE37" s="22" t="s">
        <v>633</v>
      </c>
      <c r="HF37" s="22"/>
      <c r="HG37" s="236" t="s">
        <v>684</v>
      </c>
    </row>
    <row r="38" spans="2:215" ht="15.75">
      <c r="B38" s="15"/>
      <c r="C38" s="81" t="s">
        <v>639</v>
      </c>
      <c r="D38" s="82"/>
      <c r="E38" s="73"/>
      <c r="F38" s="74"/>
      <c r="G38" s="74"/>
      <c r="H38" s="74"/>
      <c r="I38" s="75"/>
      <c r="J38" s="73"/>
      <c r="K38" s="73"/>
      <c r="L38" s="75"/>
      <c r="M38" s="82"/>
      <c r="N38" s="75"/>
      <c r="O38" s="74"/>
      <c r="P38" s="74"/>
      <c r="Q38" s="74"/>
      <c r="R38" s="75"/>
      <c r="S38" s="74"/>
      <c r="T38" s="74"/>
      <c r="U38" s="74"/>
      <c r="V38" s="52"/>
      <c r="W38" s="52"/>
      <c r="X38" s="52"/>
      <c r="Y38" s="52"/>
      <c r="Z38" s="22"/>
      <c r="AA38" s="52"/>
      <c r="AB38" s="22"/>
      <c r="AC38" s="52"/>
      <c r="AD38" s="52"/>
      <c r="AE38" s="22"/>
      <c r="AF38" s="52"/>
      <c r="AG38" s="22"/>
      <c r="AH38" s="52"/>
      <c r="AI38" s="52"/>
      <c r="AJ38" s="52"/>
      <c r="AK38" s="52"/>
      <c r="AL38" s="22"/>
      <c r="AM38" s="52"/>
      <c r="AN38" s="22"/>
      <c r="AO38" s="22"/>
      <c r="AP38" s="22"/>
      <c r="AQ38" s="52"/>
      <c r="AR38" s="52"/>
      <c r="AS38" s="22"/>
      <c r="AT38" s="22"/>
      <c r="AU38" s="22"/>
      <c r="AV38" s="77"/>
      <c r="AW38" s="77"/>
      <c r="AX38" s="136"/>
      <c r="AY38" s="22"/>
      <c r="AZ38" s="22"/>
      <c r="BA38" s="22"/>
      <c r="BB38" s="22"/>
      <c r="BC38" s="52"/>
      <c r="BD38" s="52"/>
      <c r="BE38" s="22"/>
      <c r="BF38" s="52"/>
      <c r="BG38" s="52"/>
      <c r="BH38" s="22"/>
      <c r="BI38" s="22"/>
      <c r="BJ38" s="61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19"/>
      <c r="CX38" s="19"/>
      <c r="CY38" s="19"/>
      <c r="CZ38" s="19"/>
      <c r="DA38" s="21"/>
      <c r="DB38" s="21"/>
      <c r="DC38" s="79"/>
      <c r="DD38" s="79"/>
      <c r="DE38" s="79"/>
      <c r="DF38" s="79"/>
      <c r="DG38" s="79"/>
      <c r="DH38" s="51"/>
      <c r="DI38" s="39"/>
      <c r="DJ38" s="80"/>
      <c r="DK38" s="39"/>
      <c r="DL38" s="39"/>
      <c r="DM38" s="48"/>
      <c r="DN38" s="39"/>
      <c r="DO38" s="39"/>
      <c r="DP38" s="39"/>
      <c r="DQ38" s="39"/>
      <c r="DR38" s="39"/>
      <c r="DS38" s="39"/>
      <c r="DT38" s="39"/>
      <c r="DU38" s="19"/>
      <c r="DV38" s="61"/>
      <c r="DW38" s="61"/>
      <c r="DX38" s="21"/>
      <c r="DY38" s="21"/>
      <c r="DZ38" s="19"/>
      <c r="EA38" s="19"/>
      <c r="EB38" s="19"/>
      <c r="EC38" s="48"/>
      <c r="ED38" s="48"/>
      <c r="EE38" s="52"/>
      <c r="EF38" s="52"/>
      <c r="EG38" s="22"/>
      <c r="EH38" s="52"/>
      <c r="EI38" s="52"/>
      <c r="EJ38" s="22"/>
      <c r="EK38" s="61"/>
      <c r="EL38" s="19"/>
      <c r="EM38" s="19"/>
      <c r="EN38" s="61"/>
      <c r="EO38" s="61"/>
      <c r="EP38" s="61"/>
      <c r="EQ38" s="21"/>
      <c r="ER38" s="21"/>
      <c r="ES38" s="19"/>
      <c r="ET38" s="19"/>
      <c r="EU38" s="19"/>
      <c r="EV38" s="21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19"/>
      <c r="FK38" s="19"/>
      <c r="FL38" s="19"/>
      <c r="FM38" s="19"/>
      <c r="FN38" s="19"/>
      <c r="FO38" s="52"/>
      <c r="FP38" s="52"/>
      <c r="FQ38" s="22"/>
      <c r="FR38" s="52"/>
      <c r="FS38" s="22"/>
      <c r="FT38" s="22"/>
      <c r="FU38" s="61"/>
      <c r="FV38" s="19"/>
      <c r="FW38" s="19"/>
      <c r="FX38" s="19"/>
      <c r="FY38" s="19"/>
      <c r="FZ38" s="19"/>
      <c r="GA38" s="19"/>
      <c r="GB38" s="19"/>
      <c r="GC38" s="20"/>
      <c r="GD38" s="20"/>
      <c r="GE38" s="19"/>
      <c r="GF38" s="21"/>
      <c r="GG38" s="19"/>
      <c r="GH38" s="19"/>
      <c r="GI38" s="19"/>
      <c r="GJ38" s="21"/>
      <c r="GK38" s="19"/>
      <c r="GL38" s="19"/>
      <c r="GM38" s="19"/>
      <c r="GN38" s="19"/>
      <c r="GO38" s="22"/>
      <c r="GP38" s="22"/>
      <c r="GQ38" s="22"/>
      <c r="GR38" s="22"/>
      <c r="GS38" s="22"/>
      <c r="GT38" s="22"/>
      <c r="GU38" s="72"/>
      <c r="GV38" s="19"/>
      <c r="GW38" s="19"/>
      <c r="GX38" s="19"/>
      <c r="GY38" s="19"/>
      <c r="GZ38" s="23"/>
      <c r="HA38" s="22"/>
      <c r="HB38" s="22"/>
      <c r="HC38" s="22"/>
      <c r="HD38" s="52"/>
      <c r="HE38" s="22"/>
      <c r="HF38" s="22"/>
      <c r="HG38" s="233"/>
    </row>
    <row r="39" spans="2:215" ht="16.149999999999999" customHeight="1" thickBot="1">
      <c r="B39" s="15"/>
      <c r="C39" s="161" t="s">
        <v>640</v>
      </c>
      <c r="D39" s="76"/>
      <c r="E39" s="173"/>
      <c r="F39" s="74"/>
      <c r="G39" s="74"/>
      <c r="H39" s="74"/>
      <c r="I39" s="173"/>
      <c r="J39" s="173"/>
      <c r="K39" s="173"/>
      <c r="L39" s="173"/>
      <c r="M39" s="173"/>
      <c r="N39" s="173"/>
      <c r="O39" s="74"/>
      <c r="P39" s="74"/>
      <c r="Q39" s="74"/>
      <c r="R39" s="173"/>
      <c r="S39" s="173"/>
      <c r="T39" s="173"/>
      <c r="U39" s="173"/>
      <c r="V39" s="22"/>
      <c r="W39" s="22"/>
      <c r="X39" s="5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5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77"/>
      <c r="AW39" s="77"/>
      <c r="AX39" s="136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61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19"/>
      <c r="CX39" s="19"/>
      <c r="CY39" s="19"/>
      <c r="CZ39" s="19"/>
      <c r="DA39" s="21"/>
      <c r="DB39" s="21"/>
      <c r="DC39" s="79"/>
      <c r="DD39" s="79"/>
      <c r="DE39" s="79"/>
      <c r="DF39" s="79"/>
      <c r="DG39" s="79"/>
      <c r="DH39" s="51"/>
      <c r="DI39" s="39"/>
      <c r="DJ39" s="80"/>
      <c r="DK39" s="39"/>
      <c r="DL39" s="39"/>
      <c r="DM39" s="48"/>
      <c r="DN39" s="39"/>
      <c r="DO39" s="39"/>
      <c r="DP39" s="39"/>
      <c r="DQ39" s="39"/>
      <c r="DR39" s="39"/>
      <c r="DS39" s="39"/>
      <c r="DT39" s="39"/>
      <c r="DU39" s="19"/>
      <c r="DV39" s="61"/>
      <c r="DW39" s="61"/>
      <c r="DX39" s="21"/>
      <c r="DY39" s="21"/>
      <c r="DZ39" s="19"/>
      <c r="EA39" s="19"/>
      <c r="EB39" s="19"/>
      <c r="EC39" s="48"/>
      <c r="ED39" s="48"/>
      <c r="EE39" s="22"/>
      <c r="EF39" s="22"/>
      <c r="EG39" s="22"/>
      <c r="EH39" s="22"/>
      <c r="EI39" s="22"/>
      <c r="EJ39" s="22"/>
      <c r="EK39" s="61"/>
      <c r="EL39" s="19"/>
      <c r="EM39" s="19"/>
      <c r="EN39" s="61"/>
      <c r="EO39" s="61"/>
      <c r="EP39" s="61"/>
      <c r="EQ39" s="21"/>
      <c r="ER39" s="21"/>
      <c r="ES39" s="21"/>
      <c r="ET39" s="21"/>
      <c r="EU39" s="19"/>
      <c r="EV39" s="21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19"/>
      <c r="FK39" s="19"/>
      <c r="FL39" s="19"/>
      <c r="FM39" s="19"/>
      <c r="FN39" s="19"/>
      <c r="FO39" s="22">
        <v>288.14</v>
      </c>
      <c r="FP39" s="22">
        <v>295.93</v>
      </c>
      <c r="FQ39" s="22"/>
      <c r="FR39" s="22">
        <v>288.14</v>
      </c>
      <c r="FS39" s="22">
        <v>295.93</v>
      </c>
      <c r="FT39" s="22"/>
      <c r="FU39" s="61" t="s">
        <v>628</v>
      </c>
      <c r="FV39" s="19"/>
      <c r="FW39" s="19"/>
      <c r="FX39" s="19"/>
      <c r="FY39" s="19"/>
      <c r="FZ39" s="19"/>
      <c r="GA39" s="19"/>
      <c r="GB39" s="19"/>
      <c r="GC39" s="20"/>
      <c r="GD39" s="20"/>
      <c r="GE39" s="21"/>
      <c r="GF39" s="21"/>
      <c r="GG39" s="21"/>
      <c r="GH39" s="21"/>
      <c r="GI39" s="21"/>
      <c r="GJ39" s="21"/>
      <c r="GK39" s="21"/>
      <c r="GL39" s="21"/>
      <c r="GM39" s="19"/>
      <c r="GN39" s="19"/>
      <c r="GO39" s="57">
        <v>295.93</v>
      </c>
      <c r="GP39" s="57">
        <v>303.45999999999998</v>
      </c>
      <c r="GQ39" s="57"/>
      <c r="GR39" s="57">
        <v>295.93</v>
      </c>
      <c r="GS39" s="57">
        <v>303.45999999999998</v>
      </c>
      <c r="GT39" s="22"/>
      <c r="GU39" s="61" t="s">
        <v>628</v>
      </c>
      <c r="GV39" s="19"/>
      <c r="GW39" s="19"/>
      <c r="GX39" s="19"/>
      <c r="GY39" s="19"/>
      <c r="GZ39" s="19"/>
      <c r="HA39" s="22">
        <v>303.45999999999998</v>
      </c>
      <c r="HB39" s="22">
        <v>312.8</v>
      </c>
      <c r="HC39" s="22"/>
      <c r="HD39" s="22">
        <v>303.45999999999998</v>
      </c>
      <c r="HE39" s="22">
        <v>312.8</v>
      </c>
      <c r="HF39" s="22"/>
      <c r="HG39" s="236" t="s">
        <v>628</v>
      </c>
    </row>
    <row r="40" spans="2:215" ht="16.5" thickBot="1">
      <c r="B40" s="7" t="s">
        <v>184</v>
      </c>
      <c r="C40" s="80" t="s">
        <v>185</v>
      </c>
      <c r="D40" s="4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>
        <f t="shared" ref="X40" si="207">+IF(V40=0,,W40/V40*100)</f>
        <v>0</v>
      </c>
      <c r="Y40" s="128"/>
      <c r="Z40" s="128">
        <f t="shared" ref="Z40" si="208">+IF(W40=0,,Y40/W40*100)</f>
        <v>0</v>
      </c>
      <c r="AA40" s="128"/>
      <c r="AB40" s="128">
        <f t="shared" ref="AB40" si="209">+IF(Y40=0,,AA40/Y40*100)</f>
        <v>0</v>
      </c>
      <c r="AC40" s="128"/>
      <c r="AD40" s="128"/>
      <c r="AE40" s="128">
        <f t="shared" ref="AE40" si="210">+IF(AC40=0,,AF40/AC40*100)</f>
        <v>0</v>
      </c>
      <c r="AF40" s="128"/>
      <c r="AG40" s="128">
        <f>+IF(AC40=0,,AF40/AC40*100)</f>
        <v>0</v>
      </c>
      <c r="AH40" s="128"/>
      <c r="AI40" s="128"/>
      <c r="AJ40" s="128">
        <f t="shared" ref="AJ40" si="211">+IF(AH40=0,,AI40/AH40*100)</f>
        <v>0</v>
      </c>
      <c r="AK40" s="128"/>
      <c r="AL40" s="128">
        <f t="shared" ref="AL40" si="212">+IF(AI40=0,,AK40/AI40*100)</f>
        <v>0</v>
      </c>
      <c r="AM40" s="128"/>
      <c r="AN40" s="128">
        <f t="shared" ref="AN40" si="213">+IF(AK40=0,,AM40/AK40*100)</f>
        <v>0</v>
      </c>
      <c r="AO40" s="128">
        <f t="shared" ref="AO40" si="214">+IF(V40=0,,AA40/V40*100)</f>
        <v>0</v>
      </c>
      <c r="AP40" s="128">
        <f t="shared" ref="AP40" si="215">+IF(AH40=0,,AM40/AH40*100)</f>
        <v>0</v>
      </c>
      <c r="AQ40" s="128"/>
      <c r="AR40" s="128"/>
      <c r="AS40" s="128">
        <f t="shared" ref="AS40" si="216">+IF(AQ40=0,,AT40/AQ40*100)</f>
        <v>0</v>
      </c>
      <c r="AT40" s="128"/>
      <c r="AU40" s="128">
        <f>+IF(AQ40=0,,AT40/AQ40*100)</f>
        <v>0</v>
      </c>
      <c r="AV40" s="77"/>
      <c r="AW40" s="77">
        <f>+CY40/$CY$40*100</f>
        <v>100</v>
      </c>
      <c r="AX40" s="78"/>
      <c r="AY40" s="128">
        <f t="shared" ref="AY40:AY65" si="217">+AZ40+BA40+BB40</f>
        <v>0</v>
      </c>
      <c r="AZ40" s="128"/>
      <c r="BA40" s="128"/>
      <c r="BB40" s="128"/>
      <c r="BC40" s="128"/>
      <c r="BD40" s="128"/>
      <c r="BE40" s="22">
        <f t="shared" ref="BE40:BE65" si="218">+IF(BC40=0,,BD40/BC40*100)</f>
        <v>0</v>
      </c>
      <c r="BF40" s="128"/>
      <c r="BG40" s="128"/>
      <c r="BH40" s="22">
        <f t="shared" ref="BH40:BH65" si="219">+IF(BF40=0,,BG40/BF40*100)</f>
        <v>0</v>
      </c>
      <c r="BI40" s="22"/>
      <c r="BJ40" s="40"/>
      <c r="BK40" s="128">
        <f t="shared" si="38"/>
        <v>0</v>
      </c>
      <c r="BL40" s="128">
        <f t="shared" ref="BL40" si="220">+E40*AI40/1.18/1000</f>
        <v>0</v>
      </c>
      <c r="BM40" s="128">
        <f t="shared" ref="BM40" si="221">+(W40-ROUND(AI40/1.18,2))*E40/1000</f>
        <v>0</v>
      </c>
      <c r="BN40" s="128">
        <f t="shared" ref="BN40" si="222">+W40*I40/1000</f>
        <v>0</v>
      </c>
      <c r="BO40" s="128">
        <f t="shared" si="42"/>
        <v>0</v>
      </c>
      <c r="BP40" s="128">
        <f t="shared" ref="BP40" si="223">+AK40/1.18*E40/1000</f>
        <v>0</v>
      </c>
      <c r="BQ40" s="128">
        <f t="shared" ref="BQ40" si="224">+(Y40-ROUND(AK40/1.18,2))*E40/1000</f>
        <v>0</v>
      </c>
      <c r="BR40" s="128">
        <f t="shared" ref="BR40" si="225">+Y40*I40/1000</f>
        <v>0</v>
      </c>
      <c r="BS40" s="128">
        <f t="shared" si="46"/>
        <v>0</v>
      </c>
      <c r="BT40" s="128">
        <f t="shared" ref="BT40" si="226">+AM40/1.18*E40/1000</f>
        <v>0</v>
      </c>
      <c r="BU40" s="128">
        <f t="shared" ref="BU40" si="227">+(AA40-ROUND(AM40/1.18,2))*E40/1000</f>
        <v>0</v>
      </c>
      <c r="BV40" s="128">
        <f t="shared" ref="BV40" si="228">+AA40*I40/1000</f>
        <v>0</v>
      </c>
      <c r="BW40" s="128"/>
      <c r="BX40" s="128">
        <f>+SUM(BX41:BX62)</f>
        <v>6609.5763688983052</v>
      </c>
      <c r="BY40" s="128">
        <f>+SUM(BY41:BY62)</f>
        <v>393.34438979999999</v>
      </c>
      <c r="BZ40" s="128"/>
      <c r="CA40" s="128"/>
      <c r="CB40" s="128">
        <f>+SUM(CB41:CB62)</f>
        <v>7371.1956087685894</v>
      </c>
      <c r="CC40" s="128">
        <f>+SUM(CC41:CC62)</f>
        <v>435.48500830000006</v>
      </c>
      <c r="CD40" s="128">
        <f t="shared" ref="CD40" si="229">+AF40*R40/1000</f>
        <v>0</v>
      </c>
      <c r="CE40" s="128">
        <f t="shared" ref="CE40" si="230">+IF(R40=0,,BN40/R40*1000)</f>
        <v>0</v>
      </c>
      <c r="CF40" s="128">
        <f t="shared" ref="CF40" si="231">+IF(I40=0,,BR40/I40*1000)</f>
        <v>0</v>
      </c>
      <c r="CG40" s="128">
        <f t="shared" ref="CG40" si="232">+IF(I40=0,,BV40/I40*1000)</f>
        <v>0</v>
      </c>
      <c r="CH40" s="128">
        <f t="shared" ref="CH40" si="233">+IF(E40=0,,BL40/E40*1000*1.18)</f>
        <v>0</v>
      </c>
      <c r="CI40" s="128">
        <f t="shared" ref="CI40" si="234">+IF(E40=0,,BP40/E40*1.18*1000)</f>
        <v>0</v>
      </c>
      <c r="CJ40" s="128">
        <f t="shared" ref="CJ40" si="235">+IF(E40=0,,BT40/E40*1.18*1000)</f>
        <v>0</v>
      </c>
      <c r="CK40" s="128">
        <f t="shared" ref="CK40" si="236">+IF(D40=0,,BK40/D40*1000)</f>
        <v>0</v>
      </c>
      <c r="CL40" s="128">
        <f t="shared" ref="CL40" si="237">+IF(D40=0,,BO40/D40*1000)</f>
        <v>0</v>
      </c>
      <c r="CM40" s="128">
        <f t="shared" ref="CM40" si="238">+IF(D40=0,,BS40/D40*1000)</f>
        <v>0</v>
      </c>
      <c r="CN40" s="128">
        <f t="shared" ref="CN40" si="239">+IF((D40+D40+D40)=0,,(BK40+BO40+BS40)/(D40+D40+D40))*1000</f>
        <v>0</v>
      </c>
      <c r="CO40" s="128">
        <f t="shared" ref="CO40" si="240">+IF(R40=0,,BZ40/R40*1000)</f>
        <v>0</v>
      </c>
      <c r="CP40" s="128">
        <f t="shared" ref="CP40" si="241">+IF(R40=0,,CD40/R40*1000)</f>
        <v>0</v>
      </c>
      <c r="CQ40" s="128">
        <f t="shared" ref="CQ40" si="242">+IF(N40=0,,BX40/N40*1.18*1000)</f>
        <v>0</v>
      </c>
      <c r="CR40" s="128">
        <f t="shared" ref="CR40" si="243">+IF(N40=0,,CB40/N40*1.18*1000)</f>
        <v>0</v>
      </c>
      <c r="CS40" s="128">
        <f t="shared" ref="CS40" si="244">+IF(M40=0,,BW40/M40*1000)</f>
        <v>0</v>
      </c>
      <c r="CT40" s="128">
        <f t="shared" ref="CT40" si="245">+IF(M40=0,,CA40/M40*1000)</f>
        <v>0</v>
      </c>
      <c r="CU40" s="128">
        <f t="shared" ref="CU40" si="246">+IF((M40+M40)=0,,(CA40+BW40)/(M40+M40))*1000</f>
        <v>0</v>
      </c>
      <c r="CV40" s="128">
        <f t="shared" si="75"/>
        <v>0</v>
      </c>
      <c r="CW40" s="128" t="e">
        <f>+SUM(CW41:CW62)</f>
        <v>#REF!</v>
      </c>
      <c r="CX40" s="128" t="e">
        <f>+SUM(CX41:CX62)</f>
        <v>#REF!</v>
      </c>
      <c r="CY40" s="128">
        <f>+SUM(CY41:CY62)</f>
        <v>6928.6724278192114</v>
      </c>
      <c r="CZ40" s="128">
        <f>+SUM(CZ41:CZ62)</f>
        <v>7342.0820244715205</v>
      </c>
      <c r="DA40" s="20" t="e">
        <f t="shared" si="80"/>
        <v>#REF!</v>
      </c>
      <c r="DB40" s="20">
        <f t="shared" si="81"/>
        <v>94.369313836669292</v>
      </c>
      <c r="DC40" s="20" t="e">
        <f t="shared" si="5"/>
        <v>#REF!</v>
      </c>
      <c r="DD40" s="20" t="e">
        <f t="shared" si="5"/>
        <v>#REF!</v>
      </c>
      <c r="DE40" s="79">
        <f t="shared" ref="DE40:DF40" si="247">+(O40+S40)*AC40/1000</f>
        <v>0</v>
      </c>
      <c r="DF40" s="79">
        <f t="shared" si="247"/>
        <v>0</v>
      </c>
      <c r="DG40" s="128">
        <f>+SUM(DG41:DG62)</f>
        <v>14122.44263448576</v>
      </c>
      <c r="DH40" s="51">
        <f t="shared" si="85"/>
        <v>14122.44263448576</v>
      </c>
      <c r="DI40" s="39"/>
      <c r="DJ40" s="80">
        <f t="shared" ref="DJ40" si="248">+(F40+J40)*W40/1000</f>
        <v>0</v>
      </c>
      <c r="DK40" s="39">
        <f t="shared" ref="DK40" si="249">+Y40*(G40+K40)/1000</f>
        <v>0</v>
      </c>
      <c r="DL40" s="39">
        <f t="shared" ref="DL40" si="250">+(H40+L40)*AA40/1000</f>
        <v>0</v>
      </c>
      <c r="DM40" s="48">
        <f>+AT40-'[2]тарифы (12-13) население 15%'!AP63</f>
        <v>0</v>
      </c>
      <c r="DN40" s="39"/>
      <c r="DO40" s="39"/>
      <c r="DP40" s="39"/>
      <c r="DQ40" s="39"/>
      <c r="DR40" s="39"/>
      <c r="DS40" s="39"/>
      <c r="DT40" s="39"/>
      <c r="DU40" s="19">
        <f t="shared" ref="DU40:DU67" si="251">+(BF40*AZ40)/1.18</f>
        <v>0</v>
      </c>
      <c r="DV40" s="42">
        <f>+SUM(DV41:DV62)</f>
        <v>141518.88673494261</v>
      </c>
      <c r="DW40" s="42">
        <f>+SUM(DW41:DW62)</f>
        <v>236466.38800649083</v>
      </c>
      <c r="DX40" s="42">
        <f>+'[1]тарифы (НВВ) население на 4,2%'!CO66</f>
        <v>80.205793819945086</v>
      </c>
      <c r="DY40" s="42">
        <f t="shared" ref="DY40:DY55" si="252">+IF(DW40=0,,DV40/DW40*100)</f>
        <v>59.847358403875148</v>
      </c>
      <c r="DZ40" s="19">
        <f t="shared" ref="DZ40:DZ65" si="253">+BC40*AY40/1000</f>
        <v>0</v>
      </c>
      <c r="EA40" s="19">
        <f t="shared" ref="EA40:EA65" si="254">+BD40*AY40/1000</f>
        <v>0</v>
      </c>
      <c r="EB40" s="19"/>
      <c r="EC40" s="22">
        <f>+SUM(EC41:EC62)</f>
        <v>82082.758283964431</v>
      </c>
      <c r="ED40" s="22">
        <f>+SUM(ED41:ED62)</f>
        <v>85555.325785120353</v>
      </c>
      <c r="EE40" s="128"/>
      <c r="EF40" s="128"/>
      <c r="EG40" s="22">
        <f t="shared" ref="EG40:EG55" si="255">+IF(EE40=0,,EF40/EE40*100)</f>
        <v>0</v>
      </c>
      <c r="EH40" s="128"/>
      <c r="EI40" s="128"/>
      <c r="EJ40" s="22">
        <f t="shared" ref="EJ40:EJ55" si="256">+IF(EH40=0,,EI40/EH40*100)</f>
        <v>0</v>
      </c>
      <c r="EK40" s="40"/>
      <c r="EL40" s="40"/>
      <c r="EM40" s="40"/>
      <c r="EN40" s="146">
        <f>+SUM(EN41:EN62)</f>
        <v>137408.38442627116</v>
      </c>
      <c r="EO40" s="146">
        <f>+SUM(EO41:EO62)</f>
        <v>231742.14874659994</v>
      </c>
      <c r="EP40" s="146" t="e">
        <f>+$EN$442/$EN$445*EN40</f>
        <v>#REF!</v>
      </c>
      <c r="EQ40" s="42">
        <f t="shared" ref="EQ40:EQ55" si="257">+IF(EO40=0,,EN40/EO40*100)</f>
        <v>59.293652522623894</v>
      </c>
      <c r="ER40" s="42" t="e">
        <f>+IF((EN40+EP40)=0,,(EN40+EP40)/(EO40+EP40))*100</f>
        <v>#REF!</v>
      </c>
      <c r="ES40" s="42"/>
      <c r="ET40" s="42"/>
      <c r="EU40" s="19">
        <f t="shared" ref="EU40:EU55" si="258">+EF40*EL40</f>
        <v>0</v>
      </c>
      <c r="EV40" s="42"/>
      <c r="EW40" s="39"/>
      <c r="EX40" s="39">
        <f t="shared" ref="EX40:EX55" si="259">+BD40*AY40</f>
        <v>0</v>
      </c>
      <c r="EY40" s="39">
        <f t="shared" si="149"/>
        <v>0</v>
      </c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41">
        <f>+SUM(FJ42:FJ62)</f>
        <v>89826.689380984739</v>
      </c>
      <c r="FK40" s="41">
        <f>+SUM(FK42:FK62)</f>
        <v>94333.690286430487</v>
      </c>
      <c r="FL40" s="41">
        <f>+SUM(FL42:FL62)</f>
        <v>184160.37966741525</v>
      </c>
      <c r="FM40" s="40"/>
      <c r="FN40" s="40"/>
      <c r="FO40" s="128">
        <f t="shared" ref="FO40:FO51" si="260">+EF40</f>
        <v>0</v>
      </c>
      <c r="FP40" s="128"/>
      <c r="FQ40" s="22"/>
      <c r="FR40" s="128">
        <f t="shared" ref="FR40:FR65" si="261">+EI40</f>
        <v>0</v>
      </c>
      <c r="FS40" s="128"/>
      <c r="FT40" s="22"/>
      <c r="FU40" s="40"/>
      <c r="FV40" s="41">
        <f t="shared" ref="FV40:GB40" si="262">+SUM(FV42:FV62)</f>
        <v>0</v>
      </c>
      <c r="FW40" s="41">
        <f t="shared" si="262"/>
        <v>0</v>
      </c>
      <c r="FX40" s="41">
        <f t="shared" si="262"/>
        <v>0</v>
      </c>
      <c r="FY40" s="41">
        <f t="shared" si="262"/>
        <v>0</v>
      </c>
      <c r="FZ40" s="41">
        <f t="shared" si="262"/>
        <v>0</v>
      </c>
      <c r="GA40" s="41">
        <f t="shared" si="262"/>
        <v>0</v>
      </c>
      <c r="GB40" s="41">
        <f t="shared" si="262"/>
        <v>0</v>
      </c>
      <c r="GC40" s="20">
        <f t="shared" ref="GC40:GC51" si="263">+IF(FZ40=0,,FY40/FZ40*100)</f>
        <v>0</v>
      </c>
      <c r="GD40" s="20">
        <f t="shared" ref="GD40:GD51" si="264">+IF(GB40=0,,GA40/GB40*100)</f>
        <v>0</v>
      </c>
      <c r="GE40" s="42"/>
      <c r="GF40" s="42"/>
      <c r="GG40" s="42"/>
      <c r="GH40" s="42"/>
      <c r="GI40" s="42"/>
      <c r="GJ40" s="42"/>
      <c r="GK40" s="42"/>
      <c r="GL40" s="42"/>
      <c r="GM40" s="40"/>
      <c r="GN40" s="40"/>
      <c r="GO40" s="128"/>
      <c r="GP40" s="128"/>
      <c r="GQ40" s="22"/>
      <c r="GR40" s="128"/>
      <c r="GS40" s="128"/>
      <c r="GT40" s="22"/>
      <c r="GU40" s="43"/>
      <c r="GV40" s="41"/>
      <c r="GW40" s="41"/>
      <c r="GX40" s="41">
        <f>+SUM(GX41:GX62)</f>
        <v>0</v>
      </c>
      <c r="GY40" s="41">
        <f>+SUM(GY41:GY62)</f>
        <v>0</v>
      </c>
      <c r="GZ40" s="44">
        <f>+IF(GY40=0,,GX40/GY40*100)</f>
        <v>0</v>
      </c>
      <c r="HA40" s="128"/>
      <c r="HB40" s="128"/>
      <c r="HC40" s="22"/>
      <c r="HD40" s="128"/>
      <c r="HE40" s="128"/>
      <c r="HF40" s="22"/>
      <c r="HG40" s="233"/>
    </row>
    <row r="41" spans="2:215" ht="15.75">
      <c r="B41" s="10" t="s">
        <v>187</v>
      </c>
      <c r="C41" s="81" t="s">
        <v>152</v>
      </c>
      <c r="D41" s="143"/>
      <c r="E41" s="73"/>
      <c r="F41" s="73"/>
      <c r="G41" s="73"/>
      <c r="H41" s="73"/>
      <c r="I41" s="73"/>
      <c r="J41" s="73"/>
      <c r="K41" s="73"/>
      <c r="L41" s="73"/>
      <c r="M41" s="73"/>
      <c r="N41" s="143"/>
      <c r="O41" s="143"/>
      <c r="P41" s="143"/>
      <c r="Q41" s="143"/>
      <c r="R41" s="73"/>
      <c r="S41" s="73"/>
      <c r="T41" s="73"/>
      <c r="U41" s="73"/>
      <c r="V41" s="22"/>
      <c r="W41" s="22"/>
      <c r="X41" s="52"/>
      <c r="Y41" s="22"/>
      <c r="Z41" s="22"/>
      <c r="AA41" s="22"/>
      <c r="AB41" s="22"/>
      <c r="AC41" s="22"/>
      <c r="AD41" s="22"/>
      <c r="AE41" s="22"/>
      <c r="AF41" s="22"/>
      <c r="AG41" s="22">
        <f t="shared" ref="AG41:AG55" si="265">+IF(AD41=0,,AF41/AD41*100)</f>
        <v>0</v>
      </c>
      <c r="AH41" s="22"/>
      <c r="AI41" s="22"/>
      <c r="AJ41" s="5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>
        <f t="shared" ref="AU41:AU55" si="266">+IF(AR41=0,,AT41/AR41*100)</f>
        <v>0</v>
      </c>
      <c r="AV41" s="77"/>
      <c r="AW41" s="77"/>
      <c r="AX41" s="78"/>
      <c r="AY41" s="22">
        <f t="shared" si="217"/>
        <v>0</v>
      </c>
      <c r="AZ41" s="22"/>
      <c r="BA41" s="22"/>
      <c r="BB41" s="22"/>
      <c r="BC41" s="22"/>
      <c r="BD41" s="22"/>
      <c r="BE41" s="22">
        <f t="shared" si="218"/>
        <v>0</v>
      </c>
      <c r="BF41" s="22"/>
      <c r="BG41" s="22"/>
      <c r="BH41" s="22">
        <f t="shared" si="219"/>
        <v>0</v>
      </c>
      <c r="BI41" s="22"/>
      <c r="BJ41" s="40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19"/>
      <c r="CX41" s="19"/>
      <c r="CY41" s="19"/>
      <c r="CZ41" s="19"/>
      <c r="DA41" s="21"/>
      <c r="DB41" s="21"/>
      <c r="DC41" s="79"/>
      <c r="DD41" s="79"/>
      <c r="DE41" s="79"/>
      <c r="DF41" s="79"/>
      <c r="DG41" s="79"/>
      <c r="DH41" s="51"/>
      <c r="DI41" s="39"/>
      <c r="DJ41" s="80"/>
      <c r="DK41" s="39"/>
      <c r="DL41" s="39"/>
      <c r="DM41" s="48"/>
      <c r="DN41" s="39"/>
      <c r="DO41" s="39"/>
      <c r="DP41" s="39"/>
      <c r="DQ41" s="39"/>
      <c r="DR41" s="39"/>
      <c r="DS41" s="39"/>
      <c r="DT41" s="39"/>
      <c r="DU41" s="19">
        <f t="shared" si="251"/>
        <v>0</v>
      </c>
      <c r="DV41" s="40">
        <f t="shared" ref="DV41:DV55" si="267">+(BG41*AZ41)/1.18</f>
        <v>0</v>
      </c>
      <c r="DW41" s="40">
        <f t="shared" ref="DW41:DW55" si="268">+BD41*AZ41</f>
        <v>0</v>
      </c>
      <c r="DX41" s="46"/>
      <c r="DY41" s="21">
        <f t="shared" si="252"/>
        <v>0</v>
      </c>
      <c r="DZ41" s="19">
        <f t="shared" si="253"/>
        <v>0</v>
      </c>
      <c r="EA41" s="19">
        <f t="shared" si="254"/>
        <v>0</v>
      </c>
      <c r="EB41" s="19"/>
      <c r="EC41" s="48">
        <f t="shared" ref="EC41:EC53" si="269">+(BC41-BF41/1.18)*AZ41/2</f>
        <v>0</v>
      </c>
      <c r="ED41" s="48">
        <f t="shared" ref="ED41:ED53" si="270">+(BD41-BG41/1.18)*AZ41/2</f>
        <v>0</v>
      </c>
      <c r="EE41" s="22"/>
      <c r="EF41" s="22"/>
      <c r="EG41" s="22">
        <f t="shared" si="255"/>
        <v>0</v>
      </c>
      <c r="EH41" s="22"/>
      <c r="EI41" s="22"/>
      <c r="EJ41" s="22">
        <f t="shared" si="256"/>
        <v>0</v>
      </c>
      <c r="EK41" s="40"/>
      <c r="EL41" s="19"/>
      <c r="EM41" s="19"/>
      <c r="EN41" s="40">
        <f t="shared" ref="EN41:EN55" si="271">+(EI41*EM41)/1.18</f>
        <v>0</v>
      </c>
      <c r="EO41" s="40">
        <f t="shared" ref="EO41:EO55" si="272">+EF41*EM41</f>
        <v>0</v>
      </c>
      <c r="EP41" s="40"/>
      <c r="EQ41" s="21">
        <f t="shared" si="257"/>
        <v>0</v>
      </c>
      <c r="ER41" s="21"/>
      <c r="ES41" s="21"/>
      <c r="ET41" s="21"/>
      <c r="EU41" s="19">
        <f t="shared" si="258"/>
        <v>0</v>
      </c>
      <c r="EV41" s="21"/>
      <c r="EW41" s="39"/>
      <c r="EX41" s="39">
        <f t="shared" si="259"/>
        <v>0</v>
      </c>
      <c r="EY41" s="39">
        <f t="shared" si="149"/>
        <v>0</v>
      </c>
      <c r="EZ41" s="39"/>
      <c r="FA41" s="39"/>
      <c r="FB41" s="39"/>
      <c r="FC41" s="39"/>
      <c r="FD41" s="39"/>
      <c r="FE41" s="39"/>
      <c r="FF41" s="166">
        <f t="shared" ref="FF41:FF43" si="273">+EF41*1.18</f>
        <v>0</v>
      </c>
      <c r="FG41" s="39"/>
      <c r="FH41" s="39"/>
      <c r="FI41" s="39"/>
      <c r="FJ41" s="19">
        <f t="shared" ref="FJ41:FJ55" si="274">+(EE41-EH41/1.18)*EM41</f>
        <v>0</v>
      </c>
      <c r="FK41" s="19">
        <f t="shared" ref="FK41:FK55" si="275">+(EF41-EI41/1.18)*EM41</f>
        <v>0</v>
      </c>
      <c r="FL41" s="19">
        <f t="shared" ref="FL41:FL55" si="276">+FJ41+FK41</f>
        <v>0</v>
      </c>
      <c r="FM41" s="19"/>
      <c r="FN41" s="19"/>
      <c r="FO41" s="22">
        <f t="shared" si="260"/>
        <v>0</v>
      </c>
      <c r="FP41" s="22"/>
      <c r="FQ41" s="22"/>
      <c r="FR41" s="22">
        <f t="shared" si="261"/>
        <v>0</v>
      </c>
      <c r="FS41" s="22"/>
      <c r="FT41" s="22"/>
      <c r="FU41" s="40"/>
      <c r="FV41" s="19">
        <f>+(FO41-FR41/1.18)*FN41</f>
        <v>0</v>
      </c>
      <c r="FW41" s="19">
        <f t="shared" ref="FW41:FW51" si="277">+(FP41-FS41/1.18)*FN41</f>
        <v>0</v>
      </c>
      <c r="FX41" s="19">
        <f t="shared" ref="FX41:FX51" si="278">+(FW41/2)-FV41/2</f>
        <v>0</v>
      </c>
      <c r="FY41" s="19">
        <f t="shared" ref="FY41:FY51" si="279">+(FR41*EM41)/1.18</f>
        <v>0</v>
      </c>
      <c r="FZ41" s="19">
        <f t="shared" ref="FZ41:FZ51" si="280">+FO41*EM41</f>
        <v>0</v>
      </c>
      <c r="GA41" s="19">
        <f t="shared" ref="GA41:GA51" si="281">+(FS41*EM41)/1.18</f>
        <v>0</v>
      </c>
      <c r="GB41" s="19">
        <f t="shared" ref="GB41:GB51" si="282">+FP41*EM41</f>
        <v>0</v>
      </c>
      <c r="GC41" s="20">
        <f t="shared" si="263"/>
        <v>0</v>
      </c>
      <c r="GD41" s="20">
        <f t="shared" si="264"/>
        <v>0</v>
      </c>
      <c r="GE41" s="21">
        <f t="shared" ref="GE41:GE51" si="283">+FO41*FM41</f>
        <v>0</v>
      </c>
      <c r="GF41" s="21">
        <f t="shared" ref="GF41:GF51" si="284">+FR41*FN41</f>
        <v>0</v>
      </c>
      <c r="GG41" s="21"/>
      <c r="GH41" s="21"/>
      <c r="GI41" s="21"/>
      <c r="GJ41" s="21">
        <f t="shared" ref="GJ41:GJ51" si="285">+FS41*FN41</f>
        <v>0</v>
      </c>
      <c r="GK41" s="21"/>
      <c r="GL41" s="21"/>
      <c r="GM41" s="19"/>
      <c r="GN41" s="19"/>
      <c r="GO41" s="22"/>
      <c r="GP41" s="22"/>
      <c r="GQ41" s="22"/>
      <c r="GR41" s="22"/>
      <c r="GS41" s="22"/>
      <c r="GT41" s="22"/>
      <c r="GU41" s="43"/>
      <c r="GV41" s="19"/>
      <c r="GW41" s="19"/>
      <c r="GX41" s="19"/>
      <c r="GY41" s="19"/>
      <c r="GZ41" s="19"/>
      <c r="HA41" s="22"/>
      <c r="HB41" s="22"/>
      <c r="HC41" s="22"/>
      <c r="HD41" s="22"/>
      <c r="HE41" s="22"/>
      <c r="HF41" s="22"/>
      <c r="HG41" s="233"/>
    </row>
    <row r="42" spans="2:215" ht="15.75">
      <c r="B42" s="10"/>
      <c r="C42" s="161" t="s">
        <v>153</v>
      </c>
      <c r="D42" s="143"/>
      <c r="E42" s="73"/>
      <c r="F42" s="73"/>
      <c r="G42" s="73"/>
      <c r="H42" s="73"/>
      <c r="I42" s="73"/>
      <c r="J42" s="73"/>
      <c r="K42" s="73"/>
      <c r="L42" s="73"/>
      <c r="M42" s="73"/>
      <c r="N42" s="143"/>
      <c r="O42" s="143"/>
      <c r="P42" s="143"/>
      <c r="Q42" s="143"/>
      <c r="R42" s="73"/>
      <c r="S42" s="73"/>
      <c r="T42" s="73"/>
      <c r="U42" s="73"/>
      <c r="V42" s="22"/>
      <c r="W42" s="22"/>
      <c r="X42" s="52"/>
      <c r="Y42" s="22"/>
      <c r="Z42" s="22"/>
      <c r="AA42" s="22"/>
      <c r="AB42" s="22"/>
      <c r="AC42" s="22"/>
      <c r="AD42" s="52">
        <v>2523.4</v>
      </c>
      <c r="AE42" s="22">
        <f>+IF(AC42=0,,AF42/AC42*100)</f>
        <v>0</v>
      </c>
      <c r="AF42" s="22">
        <v>2523.4</v>
      </c>
      <c r="AG42" s="22">
        <f t="shared" si="265"/>
        <v>100</v>
      </c>
      <c r="AH42" s="22"/>
      <c r="AI42" s="22"/>
      <c r="AJ42" s="52"/>
      <c r="AK42" s="22"/>
      <c r="AL42" s="22"/>
      <c r="AM42" s="22"/>
      <c r="AN42" s="22"/>
      <c r="AO42" s="22"/>
      <c r="AP42" s="22"/>
      <c r="AQ42" s="22"/>
      <c r="AR42" s="22">
        <v>1542.54</v>
      </c>
      <c r="AS42" s="22">
        <f>+IF(AQ42=0,,AT42/AQ42*100)</f>
        <v>0</v>
      </c>
      <c r="AT42" s="22">
        <v>1723.01</v>
      </c>
      <c r="AU42" s="22">
        <f t="shared" si="266"/>
        <v>111.6995345339505</v>
      </c>
      <c r="AV42" s="77"/>
      <c r="AW42" s="77"/>
      <c r="AX42" s="78" t="s">
        <v>139</v>
      </c>
      <c r="AY42" s="22">
        <f t="shared" si="217"/>
        <v>121.18449000000001</v>
      </c>
      <c r="AZ42" s="22">
        <f>+[7]БПр!$BX$1560/1000</f>
        <v>76.565130000000011</v>
      </c>
      <c r="BA42" s="22">
        <f>+[7]БПр!$BW$1560/1000</f>
        <v>25.656299999999998</v>
      </c>
      <c r="BB42" s="22">
        <f>+[7]БПр!$BY$1560/1000+[7]БПр!$BP$1560/1000</f>
        <v>18.963059999999999</v>
      </c>
      <c r="BC42" s="22">
        <v>2523.4</v>
      </c>
      <c r="BD42" s="22">
        <v>2629.38</v>
      </c>
      <c r="BE42" s="22">
        <f t="shared" si="218"/>
        <v>104.19988903859871</v>
      </c>
      <c r="BF42" s="22">
        <v>1723.01</v>
      </c>
      <c r="BG42" s="22">
        <v>1795.37</v>
      </c>
      <c r="BH42" s="22">
        <f t="shared" si="219"/>
        <v>104.19962739624262</v>
      </c>
      <c r="BI42" s="22"/>
      <c r="BJ42" s="40" t="s">
        <v>140</v>
      </c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19"/>
      <c r="CX42" s="19"/>
      <c r="CY42" s="19"/>
      <c r="CZ42" s="19"/>
      <c r="DA42" s="21"/>
      <c r="DB42" s="21"/>
      <c r="DC42" s="79"/>
      <c r="DD42" s="79"/>
      <c r="DE42" s="79"/>
      <c r="DF42" s="79"/>
      <c r="DG42" s="79"/>
      <c r="DH42" s="51"/>
      <c r="DI42" s="39"/>
      <c r="DJ42" s="80"/>
      <c r="DK42" s="39"/>
      <c r="DL42" s="39"/>
      <c r="DM42" s="48"/>
      <c r="DN42" s="39"/>
      <c r="DO42" s="39"/>
      <c r="DP42" s="39"/>
      <c r="DQ42" s="39"/>
      <c r="DR42" s="39"/>
      <c r="DS42" s="39"/>
      <c r="DT42" s="39"/>
      <c r="DU42" s="19">
        <f t="shared" si="251"/>
        <v>111798.71579771189</v>
      </c>
      <c r="DV42" s="40">
        <f t="shared" si="267"/>
        <v>116493.84529500001</v>
      </c>
      <c r="DW42" s="40">
        <f t="shared" si="268"/>
        <v>201318.82151940002</v>
      </c>
      <c r="DX42" s="21">
        <f>+('[1]тарифы (НВВ) население на 4,2%'!CL68+'[1]тарифы (НВВ) население на 4,2%'!CL69+'[1]тарифы (НВВ) население на 4,2%'!CL70+'[1]тарифы (НВВ) население на 4,2%'!CL71)/('[1]тарифы (НВВ) население на 4,2%'!CM68+'[1]тарифы (НВВ) население на 4,2%'!CM69+'[1]тарифы (НВВ) население на 4,2%'!CM70+'[1]тарифы (НВВ) население на 4,2%'!CM71)*100</f>
        <v>67.268468668250875</v>
      </c>
      <c r="DY42" s="21">
        <f>+IF(DW42=0,,DV42/DW42*100)</f>
        <v>57.865352288372165</v>
      </c>
      <c r="DZ42" s="19">
        <f t="shared" si="253"/>
        <v>305.79694206600004</v>
      </c>
      <c r="EA42" s="19">
        <f t="shared" si="254"/>
        <v>318.64007431620007</v>
      </c>
      <c r="EB42" s="48">
        <v>1859.47</v>
      </c>
      <c r="EC42" s="48">
        <f>+(BC42-BF42/1.18)*AZ42</f>
        <v>81405.73324428816</v>
      </c>
      <c r="ED42" s="48">
        <f>+(BD42-BG42/1.18)*AZ42</f>
        <v>84824.976224400016</v>
      </c>
      <c r="EE42" s="22">
        <v>2629.38</v>
      </c>
      <c r="EF42" s="22">
        <v>2813.43</v>
      </c>
      <c r="EG42" s="22">
        <f t="shared" si="255"/>
        <v>106.99974899025624</v>
      </c>
      <c r="EH42" s="22">
        <v>1795.37</v>
      </c>
      <c r="EI42" s="22">
        <v>1947.07</v>
      </c>
      <c r="EJ42" s="22">
        <f t="shared" si="256"/>
        <v>108.44951179979614</v>
      </c>
      <c r="EK42" s="40" t="s">
        <v>141</v>
      </c>
      <c r="EL42" s="19">
        <v>99.294669999999996</v>
      </c>
      <c r="EM42" s="19">
        <v>68.178929999999994</v>
      </c>
      <c r="EN42" s="40">
        <f t="shared" si="271"/>
        <v>112499.27901279661</v>
      </c>
      <c r="EO42" s="40">
        <f t="shared" si="272"/>
        <v>191816.64702989996</v>
      </c>
      <c r="EP42" s="40"/>
      <c r="EQ42" s="21">
        <f t="shared" si="257"/>
        <v>58.649382498725714</v>
      </c>
      <c r="ER42" s="21"/>
      <c r="ES42" s="19">
        <f t="shared" ref="ES42:ES55" si="286">+EL42*EE42</f>
        <v>261083.41940459999</v>
      </c>
      <c r="ET42" s="19"/>
      <c r="EU42" s="19">
        <f t="shared" si="258"/>
        <v>279358.60341809998</v>
      </c>
      <c r="EV42" s="21"/>
      <c r="EW42" s="39"/>
      <c r="EX42" s="39">
        <f t="shared" si="259"/>
        <v>318640.07431620004</v>
      </c>
      <c r="EY42" s="39">
        <f t="shared" si="149"/>
        <v>340944.07970070001</v>
      </c>
      <c r="EZ42" s="39"/>
      <c r="FA42" s="39"/>
      <c r="FB42" s="39"/>
      <c r="FC42" s="39"/>
      <c r="FD42" s="39"/>
      <c r="FE42" s="166">
        <f>+EE42*1.18</f>
        <v>3102.6684</v>
      </c>
      <c r="FF42" s="166">
        <f t="shared" si="273"/>
        <v>3319.8473999999997</v>
      </c>
      <c r="FG42" s="39"/>
      <c r="FH42" s="39"/>
      <c r="FI42" s="39"/>
      <c r="FJ42" s="19">
        <f t="shared" si="274"/>
        <v>75534.072968399996</v>
      </c>
      <c r="FK42" s="19">
        <f t="shared" si="275"/>
        <v>79317.368017103377</v>
      </c>
      <c r="FL42" s="19">
        <f t="shared" si="276"/>
        <v>154851.44098550337</v>
      </c>
      <c r="FM42" s="19">
        <v>97.936999999999998</v>
      </c>
      <c r="FN42" s="19">
        <v>69.075000000000003</v>
      </c>
      <c r="FO42" s="22">
        <v>3013.12</v>
      </c>
      <c r="FP42" s="22">
        <v>3083.47</v>
      </c>
      <c r="FQ42" s="22"/>
      <c r="FR42" s="22">
        <v>2346</v>
      </c>
      <c r="FS42" s="22">
        <v>2486.7600000000002</v>
      </c>
      <c r="FT42" s="22"/>
      <c r="FU42" s="129" t="s">
        <v>624</v>
      </c>
      <c r="FV42" s="19"/>
      <c r="FW42" s="19"/>
      <c r="FX42" s="19"/>
      <c r="FY42" s="19"/>
      <c r="FZ42" s="19"/>
      <c r="GA42" s="19"/>
      <c r="GB42" s="19"/>
      <c r="GC42" s="20"/>
      <c r="GD42" s="20"/>
      <c r="GE42" s="21"/>
      <c r="GF42" s="21"/>
      <c r="GG42" s="19"/>
      <c r="GH42" s="19"/>
      <c r="GI42" s="19"/>
      <c r="GJ42" s="21"/>
      <c r="GK42" s="19"/>
      <c r="GL42" s="19"/>
      <c r="GM42" s="19"/>
      <c r="GN42" s="19"/>
      <c r="GO42" s="22">
        <v>3083.47</v>
      </c>
      <c r="GP42" s="22">
        <v>3217.34</v>
      </c>
      <c r="GQ42" s="22"/>
      <c r="GR42" s="22">
        <v>2486.7600000000002</v>
      </c>
      <c r="GS42" s="22">
        <v>2581.2600000000002</v>
      </c>
      <c r="GT42" s="22"/>
      <c r="GU42" s="129" t="s">
        <v>624</v>
      </c>
      <c r="GV42" s="19"/>
      <c r="GW42" s="19"/>
      <c r="GX42" s="19"/>
      <c r="GY42" s="19"/>
      <c r="GZ42" s="23"/>
      <c r="HA42" s="22">
        <v>3217.34</v>
      </c>
      <c r="HB42" s="22">
        <v>3305.42</v>
      </c>
      <c r="HC42" s="22"/>
      <c r="HD42" s="22">
        <v>2581.2600000000002</v>
      </c>
      <c r="HE42" s="22">
        <v>2684.51</v>
      </c>
      <c r="HF42" s="22"/>
      <c r="HG42" s="236" t="s">
        <v>624</v>
      </c>
    </row>
    <row r="43" spans="2:215" ht="16.149999999999999" customHeight="1">
      <c r="B43" s="10"/>
      <c r="C43" s="184" t="s">
        <v>150</v>
      </c>
      <c r="D43" s="143"/>
      <c r="E43" s="73"/>
      <c r="F43" s="73"/>
      <c r="G43" s="73"/>
      <c r="H43" s="73"/>
      <c r="I43" s="73"/>
      <c r="J43" s="73"/>
      <c r="K43" s="73"/>
      <c r="L43" s="73"/>
      <c r="M43" s="73"/>
      <c r="N43" s="143"/>
      <c r="O43" s="143"/>
      <c r="P43" s="143"/>
      <c r="Q43" s="143"/>
      <c r="R43" s="73"/>
      <c r="S43" s="73"/>
      <c r="T43" s="73"/>
      <c r="U43" s="73"/>
      <c r="V43" s="22"/>
      <c r="W43" s="22"/>
      <c r="X43" s="52"/>
      <c r="Y43" s="22"/>
      <c r="Z43" s="22"/>
      <c r="AA43" s="22"/>
      <c r="AB43" s="22"/>
      <c r="AC43" s="22"/>
      <c r="AD43" s="52">
        <v>198.14</v>
      </c>
      <c r="AE43" s="22">
        <f>+IF(AC43=0,,AF43/AC43*100)</f>
        <v>0</v>
      </c>
      <c r="AF43" s="22">
        <v>198.14</v>
      </c>
      <c r="AG43" s="22">
        <f t="shared" si="265"/>
        <v>100</v>
      </c>
      <c r="AH43" s="22"/>
      <c r="AI43" s="22"/>
      <c r="AJ43" s="52"/>
      <c r="AK43" s="22"/>
      <c r="AL43" s="22"/>
      <c r="AM43" s="22"/>
      <c r="AN43" s="22"/>
      <c r="AO43" s="22"/>
      <c r="AP43" s="22"/>
      <c r="AQ43" s="22"/>
      <c r="AR43" s="22">
        <v>111.19</v>
      </c>
      <c r="AS43" s="22">
        <f>+IF(AQ43=0,,AT43/AQ43*100)</f>
        <v>0</v>
      </c>
      <c r="AT43" s="22">
        <v>123.95</v>
      </c>
      <c r="AU43" s="22">
        <f t="shared" si="266"/>
        <v>111.47585214497707</v>
      </c>
      <c r="AV43" s="77"/>
      <c r="AW43" s="77"/>
      <c r="AX43" s="78" t="s">
        <v>156</v>
      </c>
      <c r="AY43" s="22">
        <f t="shared" si="217"/>
        <v>0</v>
      </c>
      <c r="AZ43" s="22"/>
      <c r="BA43" s="22"/>
      <c r="BB43" s="22"/>
      <c r="BC43" s="22"/>
      <c r="BD43" s="22"/>
      <c r="BE43" s="22">
        <f t="shared" si="218"/>
        <v>0</v>
      </c>
      <c r="BF43" s="22">
        <v>123.95</v>
      </c>
      <c r="BG43" s="22">
        <v>129.15</v>
      </c>
      <c r="BH43" s="22">
        <f t="shared" si="219"/>
        <v>104.19524001613554</v>
      </c>
      <c r="BI43" s="22"/>
      <c r="BJ43" s="40" t="s">
        <v>157</v>
      </c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19"/>
      <c r="CX43" s="19"/>
      <c r="CY43" s="19"/>
      <c r="CZ43" s="19"/>
      <c r="DA43" s="21"/>
      <c r="DB43" s="21"/>
      <c r="DC43" s="79"/>
      <c r="DD43" s="79"/>
      <c r="DE43" s="79"/>
      <c r="DF43" s="79"/>
      <c r="DG43" s="79"/>
      <c r="DH43" s="51"/>
      <c r="DI43" s="39"/>
      <c r="DJ43" s="80"/>
      <c r="DK43" s="39"/>
      <c r="DL43" s="39"/>
      <c r="DM43" s="48"/>
      <c r="DN43" s="39"/>
      <c r="DO43" s="39"/>
      <c r="DP43" s="39"/>
      <c r="DQ43" s="39"/>
      <c r="DR43" s="39"/>
      <c r="DS43" s="39"/>
      <c r="DT43" s="39"/>
      <c r="DU43" s="19">
        <f t="shared" si="251"/>
        <v>0</v>
      </c>
      <c r="DV43" s="40">
        <f>+'[1]тарифы (НВВ) население на 4,2%'!CL73*1.042</f>
        <v>17077.329994845102</v>
      </c>
      <c r="DW43" s="40">
        <f>+'[1]тарифы (НВВ) население на 4,2%'!CM73*1.042</f>
        <v>26469.673287229118</v>
      </c>
      <c r="DX43" s="46"/>
      <c r="DY43" s="21">
        <f t="shared" si="252"/>
        <v>64.516587755106286</v>
      </c>
      <c r="DZ43" s="19">
        <f t="shared" si="253"/>
        <v>0</v>
      </c>
      <c r="EA43" s="19">
        <f t="shared" si="254"/>
        <v>0</v>
      </c>
      <c r="EB43" s="19"/>
      <c r="EC43" s="48">
        <f t="shared" si="269"/>
        <v>0</v>
      </c>
      <c r="ED43" s="48">
        <f t="shared" si="270"/>
        <v>0</v>
      </c>
      <c r="EE43" s="22">
        <v>206.46</v>
      </c>
      <c r="EF43" s="22">
        <v>220.67</v>
      </c>
      <c r="EG43" s="22">
        <f t="shared" si="255"/>
        <v>106.88268914075366</v>
      </c>
      <c r="EH43" s="22">
        <v>129.15</v>
      </c>
      <c r="EI43" s="22">
        <v>140.06</v>
      </c>
      <c r="EJ43" s="22">
        <f t="shared" si="256"/>
        <v>108.44754161827332</v>
      </c>
      <c r="EK43" s="40" t="s">
        <v>158</v>
      </c>
      <c r="EL43" s="19">
        <v>171.53334000000001</v>
      </c>
      <c r="EM43" s="19">
        <v>141.13399999999999</v>
      </c>
      <c r="EN43" s="40">
        <f>+(EI43*EM43)/1.18</f>
        <v>16751.888169491525</v>
      </c>
      <c r="EO43" s="40">
        <f t="shared" si="272"/>
        <v>31144.039779999996</v>
      </c>
      <c r="EP43" s="40"/>
      <c r="EQ43" s="21">
        <f t="shared" si="257"/>
        <v>53.788424006089322</v>
      </c>
      <c r="ER43" s="21"/>
      <c r="ES43" s="19">
        <f t="shared" si="286"/>
        <v>35414.7733764</v>
      </c>
      <c r="ET43" s="19"/>
      <c r="EU43" s="19">
        <f t="shared" si="258"/>
        <v>37852.262137799997</v>
      </c>
      <c r="EV43" s="21"/>
      <c r="EW43" s="39"/>
      <c r="EX43" s="39">
        <f t="shared" si="259"/>
        <v>0</v>
      </c>
      <c r="EY43" s="39">
        <f t="shared" si="149"/>
        <v>0</v>
      </c>
      <c r="EZ43" s="39"/>
      <c r="FA43" s="39"/>
      <c r="FB43" s="39"/>
      <c r="FC43" s="39"/>
      <c r="FD43" s="39"/>
      <c r="FE43" s="166">
        <f>+EE43*1.18</f>
        <v>243.62279999999998</v>
      </c>
      <c r="FF43" s="166">
        <f t="shared" si="273"/>
        <v>260.39059999999995</v>
      </c>
      <c r="FG43" s="39"/>
      <c r="FH43" s="39"/>
      <c r="FI43" s="39"/>
      <c r="FJ43" s="19">
        <f t="shared" si="274"/>
        <v>13691.528945084745</v>
      </c>
      <c r="FK43" s="19">
        <f t="shared" si="275"/>
        <v>14392.15161050847</v>
      </c>
      <c r="FL43" s="19">
        <f t="shared" si="276"/>
        <v>28083.680555593215</v>
      </c>
      <c r="FM43" s="19">
        <v>155.178</v>
      </c>
      <c r="FN43" s="19">
        <v>128.51499999999999</v>
      </c>
      <c r="FO43" s="22">
        <v>234.87</v>
      </c>
      <c r="FP43" s="22">
        <v>239.47</v>
      </c>
      <c r="FQ43" s="22"/>
      <c r="FR43" s="22">
        <v>169.58</v>
      </c>
      <c r="FS43" s="22">
        <v>178.06</v>
      </c>
      <c r="FT43" s="22"/>
      <c r="FU43" s="129" t="s">
        <v>631</v>
      </c>
      <c r="FV43" s="19"/>
      <c r="FW43" s="19"/>
      <c r="FX43" s="19"/>
      <c r="FY43" s="19"/>
      <c r="FZ43" s="19"/>
      <c r="GA43" s="19"/>
      <c r="GB43" s="19"/>
      <c r="GC43" s="20"/>
      <c r="GD43" s="20"/>
      <c r="GE43" s="21"/>
      <c r="GF43" s="21"/>
      <c r="GG43" s="19"/>
      <c r="GH43" s="19"/>
      <c r="GI43" s="19"/>
      <c r="GJ43" s="21"/>
      <c r="GK43" s="19"/>
      <c r="GL43" s="19"/>
      <c r="GM43" s="19"/>
      <c r="GN43" s="19"/>
      <c r="GO43" s="22">
        <v>239.47</v>
      </c>
      <c r="GP43" s="22">
        <v>248.57</v>
      </c>
      <c r="GQ43" s="22"/>
      <c r="GR43" s="22">
        <v>178.06</v>
      </c>
      <c r="GS43" s="22">
        <v>184.83</v>
      </c>
      <c r="GT43" s="22"/>
      <c r="GU43" s="129" t="s">
        <v>631</v>
      </c>
      <c r="GV43" s="19"/>
      <c r="GW43" s="19"/>
      <c r="GX43" s="19"/>
      <c r="GY43" s="19"/>
      <c r="GZ43" s="23"/>
      <c r="HA43" s="22">
        <v>248.57</v>
      </c>
      <c r="HB43" s="22">
        <v>258.51</v>
      </c>
      <c r="HC43" s="22"/>
      <c r="HD43" s="22">
        <v>184.83</v>
      </c>
      <c r="HE43" s="22">
        <v>192.22</v>
      </c>
      <c r="HF43" s="22"/>
      <c r="HG43" s="236" t="s">
        <v>631</v>
      </c>
    </row>
    <row r="44" spans="2:215" ht="16.149999999999999" customHeight="1">
      <c r="B44" s="10"/>
      <c r="C44" s="187" t="s">
        <v>573</v>
      </c>
      <c r="D44" s="143"/>
      <c r="E44" s="73"/>
      <c r="F44" s="73"/>
      <c r="G44" s="73"/>
      <c r="H44" s="73"/>
      <c r="I44" s="73"/>
      <c r="J44" s="73"/>
      <c r="K44" s="73"/>
      <c r="L44" s="73"/>
      <c r="M44" s="73"/>
      <c r="N44" s="143"/>
      <c r="O44" s="143"/>
      <c r="P44" s="143"/>
      <c r="Q44" s="143"/>
      <c r="R44" s="73"/>
      <c r="S44" s="73"/>
      <c r="T44" s="73"/>
      <c r="U44" s="73"/>
      <c r="V44" s="22"/>
      <c r="W44" s="22"/>
      <c r="X44" s="52"/>
      <c r="Y44" s="22"/>
      <c r="Z44" s="22"/>
      <c r="AA44" s="22"/>
      <c r="AB44" s="22"/>
      <c r="AC44" s="22"/>
      <c r="AD44" s="52"/>
      <c r="AE44" s="22"/>
      <c r="AF44" s="22"/>
      <c r="AG44" s="22"/>
      <c r="AH44" s="22"/>
      <c r="AI44" s="22"/>
      <c r="AJ44" s="5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77"/>
      <c r="AW44" s="77"/>
      <c r="AX44" s="78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40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19"/>
      <c r="CX44" s="19"/>
      <c r="CY44" s="19"/>
      <c r="CZ44" s="19"/>
      <c r="DA44" s="21"/>
      <c r="DB44" s="21"/>
      <c r="DC44" s="79"/>
      <c r="DD44" s="79"/>
      <c r="DE44" s="79"/>
      <c r="DF44" s="79"/>
      <c r="DG44" s="79"/>
      <c r="DH44" s="51"/>
      <c r="DI44" s="39"/>
      <c r="DJ44" s="80"/>
      <c r="DK44" s="39"/>
      <c r="DL44" s="39"/>
      <c r="DM44" s="48"/>
      <c r="DN44" s="39"/>
      <c r="DO44" s="39"/>
      <c r="DP44" s="39"/>
      <c r="DQ44" s="39"/>
      <c r="DR44" s="39"/>
      <c r="DS44" s="39"/>
      <c r="DT44" s="39"/>
      <c r="DU44" s="19"/>
      <c r="DV44" s="40"/>
      <c r="DW44" s="40"/>
      <c r="DX44" s="46"/>
      <c r="DY44" s="21"/>
      <c r="DZ44" s="19"/>
      <c r="EA44" s="19"/>
      <c r="EB44" s="19"/>
      <c r="EC44" s="48"/>
      <c r="ED44" s="48"/>
      <c r="EE44" s="22"/>
      <c r="EF44" s="22"/>
      <c r="EG44" s="22"/>
      <c r="EH44" s="22"/>
      <c r="EI44" s="22"/>
      <c r="EJ44" s="22"/>
      <c r="EK44" s="40"/>
      <c r="EL44" s="19"/>
      <c r="EM44" s="19"/>
      <c r="EN44" s="40"/>
      <c r="EO44" s="40"/>
      <c r="EP44" s="40"/>
      <c r="EQ44" s="21"/>
      <c r="ER44" s="21"/>
      <c r="ES44" s="19"/>
      <c r="ET44" s="19"/>
      <c r="EU44" s="19"/>
      <c r="EV44" s="21"/>
      <c r="EW44" s="39"/>
      <c r="EX44" s="39"/>
      <c r="EY44" s="39"/>
      <c r="EZ44" s="39"/>
      <c r="FA44" s="39"/>
      <c r="FB44" s="39"/>
      <c r="FC44" s="39"/>
      <c r="FD44" s="39"/>
      <c r="FE44" s="166"/>
      <c r="FF44" s="166"/>
      <c r="FG44" s="39"/>
      <c r="FH44" s="39"/>
      <c r="FI44" s="39"/>
      <c r="FJ44" s="19"/>
      <c r="FK44" s="19"/>
      <c r="FL44" s="19"/>
      <c r="FM44" s="19"/>
      <c r="FN44" s="19"/>
      <c r="FO44" s="22"/>
      <c r="FP44" s="22"/>
      <c r="FQ44" s="22"/>
      <c r="FR44" s="22"/>
      <c r="FS44" s="22"/>
      <c r="FT44" s="22"/>
      <c r="FU44" s="40"/>
      <c r="FV44" s="19"/>
      <c r="FW44" s="19"/>
      <c r="FX44" s="19"/>
      <c r="FY44" s="19"/>
      <c r="FZ44" s="19"/>
      <c r="GA44" s="19"/>
      <c r="GB44" s="19"/>
      <c r="GC44" s="20"/>
      <c r="GD44" s="20"/>
      <c r="GE44" s="21"/>
      <c r="GF44" s="21"/>
      <c r="GG44" s="19"/>
      <c r="GH44" s="19"/>
      <c r="GI44" s="19"/>
      <c r="GJ44" s="21"/>
      <c r="GK44" s="19"/>
      <c r="GL44" s="19"/>
      <c r="GM44" s="19"/>
      <c r="GN44" s="19"/>
      <c r="GO44" s="22"/>
      <c r="GP44" s="22"/>
      <c r="GQ44" s="22"/>
      <c r="GR44" s="22"/>
      <c r="GS44" s="22"/>
      <c r="GT44" s="22"/>
      <c r="GU44" s="43"/>
      <c r="GV44" s="19"/>
      <c r="GW44" s="19"/>
      <c r="GX44" s="19"/>
      <c r="GY44" s="19"/>
      <c r="GZ44" s="23"/>
      <c r="HA44" s="22"/>
      <c r="HB44" s="22"/>
      <c r="HC44" s="22"/>
      <c r="HD44" s="22"/>
      <c r="HE44" s="22"/>
      <c r="HF44" s="22"/>
      <c r="HG44" s="233"/>
    </row>
    <row r="45" spans="2:215" ht="16.149999999999999" customHeight="1">
      <c r="B45" s="10"/>
      <c r="C45" s="184" t="s">
        <v>131</v>
      </c>
      <c r="D45" s="143"/>
      <c r="E45" s="73"/>
      <c r="F45" s="73"/>
      <c r="G45" s="73"/>
      <c r="H45" s="73"/>
      <c r="I45" s="73"/>
      <c r="J45" s="73"/>
      <c r="K45" s="73"/>
      <c r="L45" s="73"/>
      <c r="M45" s="73"/>
      <c r="N45" s="143"/>
      <c r="O45" s="143"/>
      <c r="P45" s="143"/>
      <c r="Q45" s="143"/>
      <c r="R45" s="73"/>
      <c r="S45" s="73"/>
      <c r="T45" s="73"/>
      <c r="U45" s="73"/>
      <c r="V45" s="22"/>
      <c r="W45" s="22"/>
      <c r="X45" s="52"/>
      <c r="Y45" s="22"/>
      <c r="Z45" s="22"/>
      <c r="AA45" s="22"/>
      <c r="AB45" s="22"/>
      <c r="AC45" s="22"/>
      <c r="AD45" s="52"/>
      <c r="AE45" s="22"/>
      <c r="AF45" s="22"/>
      <c r="AG45" s="22"/>
      <c r="AH45" s="22"/>
      <c r="AI45" s="22"/>
      <c r="AJ45" s="5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77"/>
      <c r="AW45" s="77"/>
      <c r="AX45" s="78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40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19"/>
      <c r="CX45" s="19"/>
      <c r="CY45" s="19"/>
      <c r="CZ45" s="19"/>
      <c r="DA45" s="21"/>
      <c r="DB45" s="21"/>
      <c r="DC45" s="79"/>
      <c r="DD45" s="79"/>
      <c r="DE45" s="79"/>
      <c r="DF45" s="79"/>
      <c r="DG45" s="79"/>
      <c r="DH45" s="51"/>
      <c r="DI45" s="39"/>
      <c r="DJ45" s="80"/>
      <c r="DK45" s="39"/>
      <c r="DL45" s="39"/>
      <c r="DM45" s="48"/>
      <c r="DN45" s="39"/>
      <c r="DO45" s="39"/>
      <c r="DP45" s="39"/>
      <c r="DQ45" s="39"/>
      <c r="DR45" s="39"/>
      <c r="DS45" s="39"/>
      <c r="DT45" s="39"/>
      <c r="DU45" s="19"/>
      <c r="DV45" s="40"/>
      <c r="DW45" s="40"/>
      <c r="DX45" s="46"/>
      <c r="DY45" s="21"/>
      <c r="DZ45" s="19"/>
      <c r="EA45" s="19"/>
      <c r="EB45" s="19"/>
      <c r="EC45" s="48"/>
      <c r="ED45" s="48"/>
      <c r="EE45" s="22"/>
      <c r="EF45" s="22"/>
      <c r="EG45" s="22"/>
      <c r="EH45" s="22"/>
      <c r="EI45" s="22"/>
      <c r="EJ45" s="22"/>
      <c r="EK45" s="40"/>
      <c r="EL45" s="19"/>
      <c r="EM45" s="19"/>
      <c r="EN45" s="40"/>
      <c r="EO45" s="40"/>
      <c r="EP45" s="40"/>
      <c r="EQ45" s="21"/>
      <c r="ER45" s="21"/>
      <c r="ES45" s="19"/>
      <c r="ET45" s="19"/>
      <c r="EU45" s="19"/>
      <c r="EV45" s="21"/>
      <c r="EW45" s="39"/>
      <c r="EX45" s="39"/>
      <c r="EY45" s="39"/>
      <c r="EZ45" s="39"/>
      <c r="FA45" s="39"/>
      <c r="FB45" s="39"/>
      <c r="FC45" s="39"/>
      <c r="FD45" s="39"/>
      <c r="FE45" s="166"/>
      <c r="FF45" s="166"/>
      <c r="FG45" s="39"/>
      <c r="FH45" s="39"/>
      <c r="FI45" s="39"/>
      <c r="FJ45" s="19"/>
      <c r="FK45" s="19"/>
      <c r="FL45" s="19"/>
      <c r="FM45" s="19"/>
      <c r="FN45" s="19"/>
      <c r="FO45" s="22">
        <v>42.29</v>
      </c>
      <c r="FP45" s="22">
        <v>42.39</v>
      </c>
      <c r="FQ45" s="22"/>
      <c r="FR45" s="22">
        <v>50.75</v>
      </c>
      <c r="FS45" s="22">
        <v>50.87</v>
      </c>
      <c r="FT45" s="22"/>
      <c r="FU45" s="242" t="s">
        <v>725</v>
      </c>
      <c r="FV45" s="19"/>
      <c r="FW45" s="19"/>
      <c r="FX45" s="19"/>
      <c r="FY45" s="19"/>
      <c r="FZ45" s="19"/>
      <c r="GA45" s="19"/>
      <c r="GB45" s="19"/>
      <c r="GC45" s="20"/>
      <c r="GD45" s="20"/>
      <c r="GE45" s="21"/>
      <c r="GF45" s="21"/>
      <c r="GG45" s="19"/>
      <c r="GH45" s="19"/>
      <c r="GI45" s="19"/>
      <c r="GJ45" s="21"/>
      <c r="GK45" s="19"/>
      <c r="GL45" s="19"/>
      <c r="GM45" s="19"/>
      <c r="GN45" s="19"/>
      <c r="GO45" s="22">
        <v>42.49</v>
      </c>
      <c r="GP45" s="22">
        <v>44.82</v>
      </c>
      <c r="GQ45" s="22"/>
      <c r="GR45" s="22">
        <v>50.14</v>
      </c>
      <c r="GS45" s="22">
        <v>52.89</v>
      </c>
      <c r="GT45" s="22"/>
      <c r="GU45" s="242" t="s">
        <v>649</v>
      </c>
      <c r="GV45" s="19"/>
      <c r="GW45" s="19"/>
      <c r="GX45" s="19"/>
      <c r="GY45" s="19"/>
      <c r="GZ45" s="23"/>
      <c r="HA45" s="22" t="s">
        <v>633</v>
      </c>
      <c r="HB45" s="22" t="s">
        <v>633</v>
      </c>
      <c r="HC45" s="22"/>
      <c r="HD45" s="22" t="s">
        <v>633</v>
      </c>
      <c r="HE45" s="22" t="s">
        <v>633</v>
      </c>
      <c r="HF45" s="22"/>
      <c r="HG45" s="236" t="s">
        <v>633</v>
      </c>
    </row>
    <row r="46" spans="2:215" ht="16.149999999999999" customHeight="1">
      <c r="B46" s="10"/>
      <c r="C46" s="184" t="s">
        <v>133</v>
      </c>
      <c r="D46" s="143"/>
      <c r="E46" s="73"/>
      <c r="F46" s="73"/>
      <c r="G46" s="73"/>
      <c r="H46" s="73"/>
      <c r="I46" s="73"/>
      <c r="J46" s="73"/>
      <c r="K46" s="73"/>
      <c r="L46" s="73"/>
      <c r="M46" s="73"/>
      <c r="N46" s="143"/>
      <c r="O46" s="143"/>
      <c r="P46" s="143"/>
      <c r="Q46" s="143"/>
      <c r="R46" s="73"/>
      <c r="S46" s="73"/>
      <c r="T46" s="73"/>
      <c r="U46" s="73"/>
      <c r="V46" s="22"/>
      <c r="W46" s="22"/>
      <c r="X46" s="52"/>
      <c r="Y46" s="22"/>
      <c r="Z46" s="22"/>
      <c r="AA46" s="22"/>
      <c r="AB46" s="22"/>
      <c r="AC46" s="22"/>
      <c r="AD46" s="52"/>
      <c r="AE46" s="22"/>
      <c r="AF46" s="22"/>
      <c r="AG46" s="22"/>
      <c r="AH46" s="22"/>
      <c r="AI46" s="22"/>
      <c r="AJ46" s="5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77"/>
      <c r="AW46" s="77"/>
      <c r="AX46" s="78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40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19"/>
      <c r="CX46" s="19"/>
      <c r="CY46" s="19"/>
      <c r="CZ46" s="19"/>
      <c r="DA46" s="21"/>
      <c r="DB46" s="21"/>
      <c r="DC46" s="79"/>
      <c r="DD46" s="79"/>
      <c r="DE46" s="79"/>
      <c r="DF46" s="79"/>
      <c r="DG46" s="79"/>
      <c r="DH46" s="51"/>
      <c r="DI46" s="39"/>
      <c r="DJ46" s="80"/>
      <c r="DK46" s="39"/>
      <c r="DL46" s="39"/>
      <c r="DM46" s="48"/>
      <c r="DN46" s="39"/>
      <c r="DO46" s="39"/>
      <c r="DP46" s="39"/>
      <c r="DQ46" s="39"/>
      <c r="DR46" s="39"/>
      <c r="DS46" s="39"/>
      <c r="DT46" s="39"/>
      <c r="DU46" s="19"/>
      <c r="DV46" s="40"/>
      <c r="DW46" s="40"/>
      <c r="DX46" s="46"/>
      <c r="DY46" s="21"/>
      <c r="DZ46" s="19"/>
      <c r="EA46" s="19"/>
      <c r="EB46" s="19"/>
      <c r="EC46" s="48"/>
      <c r="ED46" s="48"/>
      <c r="EE46" s="22"/>
      <c r="EF46" s="22"/>
      <c r="EG46" s="22"/>
      <c r="EH46" s="22"/>
      <c r="EI46" s="22"/>
      <c r="EJ46" s="22"/>
      <c r="EK46" s="40"/>
      <c r="EL46" s="19"/>
      <c r="EM46" s="19"/>
      <c r="EN46" s="40"/>
      <c r="EO46" s="40"/>
      <c r="EP46" s="40"/>
      <c r="EQ46" s="21"/>
      <c r="ER46" s="21"/>
      <c r="ES46" s="19"/>
      <c r="ET46" s="19"/>
      <c r="EU46" s="19"/>
      <c r="EV46" s="21"/>
      <c r="EW46" s="39"/>
      <c r="EX46" s="39"/>
      <c r="EY46" s="39"/>
      <c r="EZ46" s="39"/>
      <c r="FA46" s="39"/>
      <c r="FB46" s="39"/>
      <c r="FC46" s="39"/>
      <c r="FD46" s="39"/>
      <c r="FE46" s="166"/>
      <c r="FF46" s="166"/>
      <c r="FG46" s="39"/>
      <c r="FH46" s="39"/>
      <c r="FI46" s="39"/>
      <c r="FJ46" s="19"/>
      <c r="FK46" s="19"/>
      <c r="FL46" s="19"/>
      <c r="FM46" s="19"/>
      <c r="FN46" s="19"/>
      <c r="FO46" s="22">
        <v>74.239999999999995</v>
      </c>
      <c r="FP46" s="22">
        <v>72.290000000000006</v>
      </c>
      <c r="FQ46" s="22"/>
      <c r="FR46" s="22">
        <v>67.010000000000005</v>
      </c>
      <c r="FS46" s="22">
        <v>68.349999999999994</v>
      </c>
      <c r="FT46" s="22"/>
      <c r="FU46" s="242"/>
      <c r="FV46" s="19"/>
      <c r="FW46" s="19"/>
      <c r="FX46" s="19"/>
      <c r="FY46" s="19"/>
      <c r="FZ46" s="19"/>
      <c r="GA46" s="19"/>
      <c r="GB46" s="19"/>
      <c r="GC46" s="20"/>
      <c r="GD46" s="20"/>
      <c r="GE46" s="21"/>
      <c r="GF46" s="21"/>
      <c r="GG46" s="19"/>
      <c r="GH46" s="19"/>
      <c r="GI46" s="19"/>
      <c r="GJ46" s="21"/>
      <c r="GK46" s="19"/>
      <c r="GL46" s="19"/>
      <c r="GM46" s="19"/>
      <c r="GN46" s="19"/>
      <c r="GO46" s="22">
        <v>76.349999999999994</v>
      </c>
      <c r="GP46" s="22">
        <v>77.489999999999995</v>
      </c>
      <c r="GQ46" s="22"/>
      <c r="GR46" s="22">
        <v>68.53</v>
      </c>
      <c r="GS46" s="22">
        <v>71.27</v>
      </c>
      <c r="GT46" s="22"/>
      <c r="GU46" s="242"/>
      <c r="GV46" s="19"/>
      <c r="GW46" s="19"/>
      <c r="GX46" s="19"/>
      <c r="GY46" s="19"/>
      <c r="GZ46" s="23"/>
      <c r="HA46" s="22" t="s">
        <v>633</v>
      </c>
      <c r="HB46" s="22" t="s">
        <v>633</v>
      </c>
      <c r="HC46" s="22"/>
      <c r="HD46" s="22" t="s">
        <v>633</v>
      </c>
      <c r="HE46" s="22" t="s">
        <v>633</v>
      </c>
      <c r="HF46" s="22"/>
      <c r="HG46" s="236" t="s">
        <v>633</v>
      </c>
    </row>
    <row r="47" spans="2:215" ht="16.149999999999999" customHeight="1">
      <c r="B47" s="10"/>
      <c r="C47" s="184" t="s">
        <v>134</v>
      </c>
      <c r="D47" s="143"/>
      <c r="E47" s="73"/>
      <c r="F47" s="73"/>
      <c r="G47" s="73"/>
      <c r="H47" s="73"/>
      <c r="I47" s="73"/>
      <c r="J47" s="73"/>
      <c r="K47" s="73"/>
      <c r="L47" s="73"/>
      <c r="M47" s="73"/>
      <c r="N47" s="143"/>
      <c r="O47" s="143"/>
      <c r="P47" s="143"/>
      <c r="Q47" s="143"/>
      <c r="R47" s="73"/>
      <c r="S47" s="73"/>
      <c r="T47" s="73"/>
      <c r="U47" s="73"/>
      <c r="V47" s="22"/>
      <c r="W47" s="22"/>
      <c r="X47" s="52"/>
      <c r="Y47" s="22"/>
      <c r="Z47" s="22"/>
      <c r="AA47" s="22"/>
      <c r="AB47" s="22"/>
      <c r="AC47" s="22"/>
      <c r="AD47" s="52"/>
      <c r="AE47" s="22"/>
      <c r="AF47" s="22"/>
      <c r="AG47" s="22"/>
      <c r="AH47" s="22"/>
      <c r="AI47" s="22"/>
      <c r="AJ47" s="5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77"/>
      <c r="AW47" s="77"/>
      <c r="AX47" s="78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40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19"/>
      <c r="CX47" s="19"/>
      <c r="CY47" s="19"/>
      <c r="CZ47" s="19"/>
      <c r="DA47" s="21"/>
      <c r="DB47" s="21"/>
      <c r="DC47" s="79"/>
      <c r="DD47" s="79"/>
      <c r="DE47" s="79"/>
      <c r="DF47" s="79"/>
      <c r="DG47" s="79"/>
      <c r="DH47" s="51"/>
      <c r="DI47" s="39"/>
      <c r="DJ47" s="80"/>
      <c r="DK47" s="39"/>
      <c r="DL47" s="39"/>
      <c r="DM47" s="48"/>
      <c r="DN47" s="39"/>
      <c r="DO47" s="39"/>
      <c r="DP47" s="39"/>
      <c r="DQ47" s="39"/>
      <c r="DR47" s="39"/>
      <c r="DS47" s="39"/>
      <c r="DT47" s="39"/>
      <c r="DU47" s="19"/>
      <c r="DV47" s="40"/>
      <c r="DW47" s="40"/>
      <c r="DX47" s="46"/>
      <c r="DY47" s="21"/>
      <c r="DZ47" s="19"/>
      <c r="EA47" s="19"/>
      <c r="EB47" s="19"/>
      <c r="EC47" s="48"/>
      <c r="ED47" s="48"/>
      <c r="EE47" s="22"/>
      <c r="EF47" s="22"/>
      <c r="EG47" s="22"/>
      <c r="EH47" s="22"/>
      <c r="EI47" s="22"/>
      <c r="EJ47" s="22"/>
      <c r="EK47" s="40"/>
      <c r="EL47" s="19"/>
      <c r="EM47" s="19"/>
      <c r="EN47" s="40"/>
      <c r="EO47" s="40"/>
      <c r="EP47" s="40"/>
      <c r="EQ47" s="21"/>
      <c r="ER47" s="21"/>
      <c r="ES47" s="19"/>
      <c r="ET47" s="19"/>
      <c r="EU47" s="19"/>
      <c r="EV47" s="21"/>
      <c r="EW47" s="39"/>
      <c r="EX47" s="39"/>
      <c r="EY47" s="39"/>
      <c r="EZ47" s="39"/>
      <c r="FA47" s="39"/>
      <c r="FB47" s="39"/>
      <c r="FC47" s="39"/>
      <c r="FD47" s="39"/>
      <c r="FE47" s="166"/>
      <c r="FF47" s="166"/>
      <c r="FG47" s="39"/>
      <c r="FH47" s="39"/>
      <c r="FI47" s="39"/>
      <c r="FJ47" s="19"/>
      <c r="FK47" s="19"/>
      <c r="FL47" s="19"/>
      <c r="FM47" s="19"/>
      <c r="FN47" s="19"/>
      <c r="FO47" s="22">
        <v>50.63</v>
      </c>
      <c r="FP47" s="22">
        <v>49.39</v>
      </c>
      <c r="FQ47" s="22"/>
      <c r="FR47" s="22">
        <v>34.659999999999997</v>
      </c>
      <c r="FS47" s="22">
        <v>35.35</v>
      </c>
      <c r="FT47" s="22"/>
      <c r="FU47" s="242"/>
      <c r="FV47" s="19"/>
      <c r="FW47" s="19"/>
      <c r="FX47" s="19"/>
      <c r="FY47" s="19"/>
      <c r="FZ47" s="19"/>
      <c r="GA47" s="19"/>
      <c r="GB47" s="19"/>
      <c r="GC47" s="20"/>
      <c r="GD47" s="20"/>
      <c r="GE47" s="21"/>
      <c r="GF47" s="21"/>
      <c r="GG47" s="19"/>
      <c r="GH47" s="19"/>
      <c r="GI47" s="19"/>
      <c r="GJ47" s="21"/>
      <c r="GK47" s="19"/>
      <c r="GL47" s="19"/>
      <c r="GM47" s="19"/>
      <c r="GN47" s="19"/>
      <c r="GO47" s="22">
        <v>52.07</v>
      </c>
      <c r="GP47" s="22">
        <v>52.5</v>
      </c>
      <c r="GQ47" s="22"/>
      <c r="GR47" s="22">
        <v>35.44</v>
      </c>
      <c r="GS47" s="22">
        <v>36.86</v>
      </c>
      <c r="GT47" s="22"/>
      <c r="GU47" s="242" t="s">
        <v>725</v>
      </c>
      <c r="GV47" s="19"/>
      <c r="GW47" s="19"/>
      <c r="GX47" s="19"/>
      <c r="GY47" s="19"/>
      <c r="GZ47" s="23"/>
      <c r="HA47" s="22" t="s">
        <v>633</v>
      </c>
      <c r="HB47" s="22" t="s">
        <v>633</v>
      </c>
      <c r="HC47" s="22"/>
      <c r="HD47" s="22" t="s">
        <v>633</v>
      </c>
      <c r="HE47" s="22" t="s">
        <v>633</v>
      </c>
      <c r="HF47" s="22"/>
      <c r="HG47" s="233" t="s">
        <v>633</v>
      </c>
    </row>
    <row r="48" spans="2:215" ht="16.149999999999999" customHeight="1">
      <c r="B48" s="10"/>
      <c r="C48" s="184" t="s">
        <v>586</v>
      </c>
      <c r="D48" s="143"/>
      <c r="E48" s="73"/>
      <c r="F48" s="73"/>
      <c r="G48" s="73"/>
      <c r="H48" s="73"/>
      <c r="I48" s="73"/>
      <c r="J48" s="73"/>
      <c r="K48" s="73"/>
      <c r="L48" s="73"/>
      <c r="M48" s="73"/>
      <c r="N48" s="143"/>
      <c r="O48" s="143"/>
      <c r="P48" s="143"/>
      <c r="Q48" s="143"/>
      <c r="R48" s="73"/>
      <c r="S48" s="73"/>
      <c r="T48" s="73"/>
      <c r="U48" s="73"/>
      <c r="V48" s="22"/>
      <c r="W48" s="22"/>
      <c r="X48" s="52"/>
      <c r="Y48" s="22"/>
      <c r="Z48" s="22"/>
      <c r="AA48" s="22"/>
      <c r="AB48" s="22"/>
      <c r="AC48" s="22"/>
      <c r="AD48" s="52"/>
      <c r="AE48" s="22"/>
      <c r="AF48" s="22"/>
      <c r="AG48" s="22"/>
      <c r="AH48" s="22"/>
      <c r="AI48" s="22"/>
      <c r="AJ48" s="5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77"/>
      <c r="AW48" s="77"/>
      <c r="AX48" s="78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40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19"/>
      <c r="CX48" s="19"/>
      <c r="CY48" s="19"/>
      <c r="CZ48" s="19"/>
      <c r="DA48" s="21"/>
      <c r="DB48" s="21"/>
      <c r="DC48" s="79"/>
      <c r="DD48" s="79"/>
      <c r="DE48" s="79"/>
      <c r="DF48" s="79"/>
      <c r="DG48" s="79"/>
      <c r="DH48" s="51"/>
      <c r="DI48" s="39"/>
      <c r="DJ48" s="80"/>
      <c r="DK48" s="39"/>
      <c r="DL48" s="39"/>
      <c r="DM48" s="48"/>
      <c r="DN48" s="39"/>
      <c r="DO48" s="39"/>
      <c r="DP48" s="39"/>
      <c r="DQ48" s="39"/>
      <c r="DR48" s="39"/>
      <c r="DS48" s="39"/>
      <c r="DT48" s="39"/>
      <c r="DU48" s="19"/>
      <c r="DV48" s="40"/>
      <c r="DW48" s="40"/>
      <c r="DX48" s="46"/>
      <c r="DY48" s="21"/>
      <c r="DZ48" s="19"/>
      <c r="EA48" s="19"/>
      <c r="EB48" s="19"/>
      <c r="EC48" s="48"/>
      <c r="ED48" s="48"/>
      <c r="EE48" s="22"/>
      <c r="EF48" s="22"/>
      <c r="EG48" s="22"/>
      <c r="EH48" s="22"/>
      <c r="EI48" s="22"/>
      <c r="EJ48" s="22"/>
      <c r="EK48" s="40"/>
      <c r="EL48" s="19"/>
      <c r="EM48" s="19"/>
      <c r="EN48" s="40"/>
      <c r="EO48" s="40"/>
      <c r="EP48" s="40"/>
      <c r="EQ48" s="21"/>
      <c r="ER48" s="21"/>
      <c r="ES48" s="19"/>
      <c r="ET48" s="19"/>
      <c r="EU48" s="19"/>
      <c r="EV48" s="21"/>
      <c r="EW48" s="39"/>
      <c r="EX48" s="39"/>
      <c r="EY48" s="39"/>
      <c r="EZ48" s="39"/>
      <c r="FA48" s="39"/>
      <c r="FB48" s="39"/>
      <c r="FC48" s="39"/>
      <c r="FD48" s="39"/>
      <c r="FE48" s="166"/>
      <c r="FF48" s="166"/>
      <c r="FG48" s="39"/>
      <c r="FH48" s="39"/>
      <c r="FI48" s="39"/>
      <c r="FJ48" s="19"/>
      <c r="FK48" s="19"/>
      <c r="FL48" s="19"/>
      <c r="FM48" s="19"/>
      <c r="FN48" s="19"/>
      <c r="FO48" s="22">
        <v>23.61</v>
      </c>
      <c r="FP48" s="22">
        <v>22.9</v>
      </c>
      <c r="FQ48" s="22"/>
      <c r="FR48" s="22" t="s">
        <v>633</v>
      </c>
      <c r="FS48" s="22" t="s">
        <v>633</v>
      </c>
      <c r="FT48" s="22"/>
      <c r="FU48" s="242"/>
      <c r="FV48" s="19"/>
      <c r="FW48" s="19"/>
      <c r="FX48" s="19"/>
      <c r="FY48" s="19"/>
      <c r="FZ48" s="19"/>
      <c r="GA48" s="19"/>
      <c r="GB48" s="19"/>
      <c r="GC48" s="20"/>
      <c r="GD48" s="20"/>
      <c r="GE48" s="21"/>
      <c r="GF48" s="21"/>
      <c r="GG48" s="19"/>
      <c r="GH48" s="19"/>
      <c r="GI48" s="19"/>
      <c r="GJ48" s="21"/>
      <c r="GK48" s="19"/>
      <c r="GL48" s="19"/>
      <c r="GM48" s="19"/>
      <c r="GN48" s="19"/>
      <c r="GO48" s="22">
        <v>24.28</v>
      </c>
      <c r="GP48" s="22">
        <v>24.99</v>
      </c>
      <c r="GQ48" s="22"/>
      <c r="GR48" s="22" t="s">
        <v>633</v>
      </c>
      <c r="GS48" s="22" t="s">
        <v>633</v>
      </c>
      <c r="GT48" s="22"/>
      <c r="GU48" s="242"/>
      <c r="GV48" s="19"/>
      <c r="GW48" s="19"/>
      <c r="GX48" s="19"/>
      <c r="GY48" s="19"/>
      <c r="GZ48" s="23"/>
      <c r="HA48" s="22" t="s">
        <v>633</v>
      </c>
      <c r="HB48" s="22" t="s">
        <v>633</v>
      </c>
      <c r="HC48" s="22"/>
      <c r="HD48" s="22" t="s">
        <v>633</v>
      </c>
      <c r="HE48" s="22" t="s">
        <v>633</v>
      </c>
      <c r="HF48" s="22"/>
      <c r="HG48" s="233" t="s">
        <v>633</v>
      </c>
    </row>
    <row r="49" spans="2:215" ht="15.75">
      <c r="B49" s="10" t="s">
        <v>188</v>
      </c>
      <c r="C49" s="81" t="s">
        <v>189</v>
      </c>
      <c r="D49" s="143">
        <f t="shared" ref="D49:D55" si="287">+E49+I49</f>
        <v>0</v>
      </c>
      <c r="E49" s="46"/>
      <c r="F49" s="46"/>
      <c r="G49" s="46"/>
      <c r="H49" s="46"/>
      <c r="I49" s="46"/>
      <c r="J49" s="46"/>
      <c r="K49" s="46"/>
      <c r="L49" s="46"/>
      <c r="M49" s="73">
        <f>+N49+R49</f>
        <v>0</v>
      </c>
      <c r="N49" s="46"/>
      <c r="O49" s="46"/>
      <c r="P49" s="46"/>
      <c r="Q49" s="46"/>
      <c r="R49" s="46"/>
      <c r="S49" s="46"/>
      <c r="T49" s="46"/>
      <c r="U49" s="46"/>
      <c r="V49" s="52"/>
      <c r="W49" s="52"/>
      <c r="X49" s="52">
        <f t="shared" ref="X49:X55" si="288">+IF(V49=0,,W49/V49*100)</f>
        <v>0</v>
      </c>
      <c r="Y49" s="52"/>
      <c r="Z49" s="22">
        <f t="shared" ref="Z49:Z55" si="289">+IF(W49=0,,Y49/W49*100)</f>
        <v>0</v>
      </c>
      <c r="AA49" s="52"/>
      <c r="AB49" s="22">
        <f t="shared" ref="AB49:AB55" si="290">+IF(Y49=0,,AA49/Y49*100)</f>
        <v>0</v>
      </c>
      <c r="AC49" s="22"/>
      <c r="AD49" s="22"/>
      <c r="AE49" s="22">
        <f t="shared" ref="AE49:AE55" si="291">+IF(AC49=0,,AF49/AC49*100)</f>
        <v>0</v>
      </c>
      <c r="AF49" s="22"/>
      <c r="AG49" s="22">
        <f t="shared" si="265"/>
        <v>0</v>
      </c>
      <c r="AH49" s="52"/>
      <c r="AI49" s="52"/>
      <c r="AJ49" s="52">
        <f t="shared" ref="AJ49:AJ55" si="292">+IF(AH49=0,,AI49/AH49*100)</f>
        <v>0</v>
      </c>
      <c r="AK49" s="52"/>
      <c r="AL49" s="22">
        <f t="shared" ref="AL49:AL55" si="293">+IF(AI49=0,,AK49/AI49*100)</f>
        <v>0</v>
      </c>
      <c r="AM49" s="52"/>
      <c r="AN49" s="22">
        <f t="shared" ref="AN49:AN55" si="294">+IF(AK49=0,,AM49/AK49*100)</f>
        <v>0</v>
      </c>
      <c r="AO49" s="22">
        <f t="shared" ref="AO49:AO55" si="295">+IF(V49=0,,AA49/V49*100)</f>
        <v>0</v>
      </c>
      <c r="AP49" s="22">
        <f t="shared" ref="AP49:AP55" si="296">+IF(AH49=0,,AM49/AH49*100)</f>
        <v>0</v>
      </c>
      <c r="AQ49" s="22"/>
      <c r="AR49" s="22"/>
      <c r="AS49" s="22">
        <f t="shared" ref="AS49:AS55" si="297">+IF(AQ49=0,,AT49/AQ49*100)</f>
        <v>0</v>
      </c>
      <c r="AT49" s="22"/>
      <c r="AU49" s="22">
        <f t="shared" si="266"/>
        <v>0</v>
      </c>
      <c r="AV49" s="77"/>
      <c r="AW49" s="77">
        <f t="shared" ref="AW49:AW55" si="298">+CY49/$CY$40*100</f>
        <v>0</v>
      </c>
      <c r="AX49" s="78"/>
      <c r="AY49" s="22">
        <f t="shared" si="217"/>
        <v>0</v>
      </c>
      <c r="AZ49" s="22"/>
      <c r="BA49" s="22"/>
      <c r="BB49" s="22"/>
      <c r="BC49" s="22"/>
      <c r="BD49" s="22"/>
      <c r="BE49" s="22">
        <f t="shared" si="218"/>
        <v>0</v>
      </c>
      <c r="BF49" s="22"/>
      <c r="BG49" s="22"/>
      <c r="BH49" s="22">
        <f t="shared" si="219"/>
        <v>0</v>
      </c>
      <c r="BI49" s="22"/>
      <c r="BJ49" s="40"/>
      <c r="BK49" s="19">
        <f t="shared" si="38"/>
        <v>0</v>
      </c>
      <c r="BL49" s="19">
        <f t="shared" ref="BL49:BL55" si="299">+E49*AI49/1.18/1000</f>
        <v>0</v>
      </c>
      <c r="BM49" s="19">
        <f>+(W49-ROUND(AI49/1.18,2))*E49/1000</f>
        <v>0</v>
      </c>
      <c r="BN49" s="19">
        <f t="shared" ref="BN49:BN55" si="300">+W49*I49/1000</f>
        <v>0</v>
      </c>
      <c r="BO49" s="19">
        <f t="shared" si="42"/>
        <v>0</v>
      </c>
      <c r="BP49" s="19">
        <f t="shared" ref="BP49:BP55" si="301">+AK49/1.18*E49/1000</f>
        <v>0</v>
      </c>
      <c r="BQ49" s="19">
        <f>+(Y49-ROUND(AK49/1.18,2))*E49/1000</f>
        <v>0</v>
      </c>
      <c r="BR49" s="19">
        <f t="shared" ref="BR49:BR55" si="302">+Y49*I49/1000</f>
        <v>0</v>
      </c>
      <c r="BS49" s="19">
        <f t="shared" si="46"/>
        <v>0</v>
      </c>
      <c r="BT49" s="19">
        <f t="shared" ref="BT49:BT55" si="303">+AM49/1.18*E49/1000</f>
        <v>0</v>
      </c>
      <c r="BU49" s="19">
        <f>+(AA49-ROUND(AM49/1.18,2))*E49/1000</f>
        <v>0</v>
      </c>
      <c r="BV49" s="19">
        <f t="shared" ref="BV49:BV55" si="304">+AA49*I49/1000</f>
        <v>0</v>
      </c>
      <c r="BW49" s="19">
        <f t="shared" si="172"/>
        <v>0</v>
      </c>
      <c r="BX49" s="19">
        <f t="shared" ref="BX49:BX55" si="305">+((AQ49/1.18*N49/1000)+(AR49/1.18*N49/1000))/2</f>
        <v>0</v>
      </c>
      <c r="BY49" s="19">
        <f t="shared" ref="BY49:BY55" si="306">+((AC49-ROUND(AQ49/1.18,2))*N49/1000+(AD49-ROUND(AR49/1.18,2))*N49/1000)/2</f>
        <v>0</v>
      </c>
      <c r="BZ49" s="19">
        <f t="shared" ref="BZ49:BZ55" si="307">+((AC49*R49/1000)+(R49*AD49/1000))/2</f>
        <v>0</v>
      </c>
      <c r="CA49" s="19">
        <f t="shared" ref="CA49:CA55" si="308">+CB49+CC49+CD49</f>
        <v>0</v>
      </c>
      <c r="CB49" s="19">
        <f t="shared" ref="CB49:CB55" si="309">+AT49/1.18*N49/1000</f>
        <v>0</v>
      </c>
      <c r="CC49" s="19">
        <f t="shared" ref="CC49:CC55" si="310">+(AF49-ROUND(AT49/1.18,2))*N49/1000</f>
        <v>0</v>
      </c>
      <c r="CD49" s="19">
        <f t="shared" ref="CD49:CD55" si="311">+AF49*R49/1000</f>
        <v>0</v>
      </c>
      <c r="CE49" s="48">
        <f t="shared" ref="CE49:CE55" si="312">+IF(R49=0,,BN49/R49*1000)</f>
        <v>0</v>
      </c>
      <c r="CF49" s="48">
        <f t="shared" ref="CF49:CF55" si="313">+IF(I49=0,,BR49/I49*1000)</f>
        <v>0</v>
      </c>
      <c r="CG49" s="48">
        <f t="shared" ref="CG49:CG55" si="314">+IF(I49=0,,BV49/I49*1000)</f>
        <v>0</v>
      </c>
      <c r="CH49" s="48">
        <f t="shared" ref="CH49:CH55" si="315">+IF(E49=0,,BL49/E49*1000*1.18)</f>
        <v>0</v>
      </c>
      <c r="CI49" s="48">
        <f t="shared" ref="CI49:CI55" si="316">+IF(E49=0,,BP49/E49*1.18*1000)</f>
        <v>0</v>
      </c>
      <c r="CJ49" s="48">
        <f t="shared" ref="CJ49:CJ55" si="317">+IF(E49=0,,BT49/E49*1.18*1000)</f>
        <v>0</v>
      </c>
      <c r="CK49" s="48">
        <f t="shared" ref="CK49:CK55" si="318">+IF(D49=0,,BK49/D49*1000)</f>
        <v>0</v>
      </c>
      <c r="CL49" s="48">
        <f t="shared" ref="CL49:CL55" si="319">+IF(D49=0,,BO49/D49*1000)</f>
        <v>0</v>
      </c>
      <c r="CM49" s="48">
        <f t="shared" ref="CM49:CM55" si="320">+IF(D49=0,,BS49/D49*1000)</f>
        <v>0</v>
      </c>
      <c r="CN49" s="48">
        <f t="shared" ref="CN49:CN55" si="321">+IF((D49+D49+D49)=0,,(BK49+BO49+BS49)/(D49+D49+D49))*1000</f>
        <v>0</v>
      </c>
      <c r="CO49" s="48">
        <f t="shared" ref="CO49:CO55" si="322">+IF(R49=0,,BZ49/R49*1000)</f>
        <v>0</v>
      </c>
      <c r="CP49" s="48">
        <f t="shared" ref="CP49:CP55" si="323">+IF(R49=0,,CD49/R49*1000)</f>
        <v>0</v>
      </c>
      <c r="CQ49" s="48">
        <f t="shared" ref="CQ49:CQ55" si="324">+IF(N49=0,,BX49/N49*1.18*1000)</f>
        <v>0</v>
      </c>
      <c r="CR49" s="48">
        <f t="shared" ref="CR49:CR55" si="325">+IF(N49=0,,CB49/N49*1.18*1000)</f>
        <v>0</v>
      </c>
      <c r="CS49" s="48">
        <f t="shared" ref="CS49:CS55" si="326">+IF(M49=0,,BW49/M49*1000)</f>
        <v>0</v>
      </c>
      <c r="CT49" s="48">
        <f t="shared" ref="CT49:CT55" si="327">+IF(M49=0,,CA49/M49*1000)</f>
        <v>0</v>
      </c>
      <c r="CU49" s="48">
        <f t="shared" ref="CU49:CU55" si="328">+IF((M49+M49)=0,,(CA49+BW49)/(M49+M49))*1000</f>
        <v>0</v>
      </c>
      <c r="CV49" s="48">
        <f t="shared" ref="CV49:CV86" si="329">+IF(CN49=0,,CU49/CN49*100)</f>
        <v>0</v>
      </c>
      <c r="CW49" s="19">
        <f t="shared" ref="CW49:CW55" si="330">+((AI49*F49)/1.18+(G49*AK49)/1.18+(H49*AM49)/1.18)/1000</f>
        <v>0</v>
      </c>
      <c r="CX49" s="19">
        <f t="shared" ref="CX49:CX55" si="331">+((W49*F49)+(Y49*G49)+(AA49*H49))/1000</f>
        <v>0</v>
      </c>
      <c r="CY49" s="19">
        <f t="shared" ref="CY49:CY55" si="332">+((AQ49*O49)/1.18+(Q49*AT49)/1.18+(AR49*P49)/1.18)/1000</f>
        <v>0</v>
      </c>
      <c r="CZ49" s="19">
        <f t="shared" ref="CZ49:CZ55" si="333">+((AC49*O49)+(AF49*Q49)+(AD49*P49))/1000</f>
        <v>0</v>
      </c>
      <c r="DA49" s="21">
        <f t="shared" ref="DA49:DA86" si="334">+IF(CX49=0,,CW49/CX49*100)</f>
        <v>0</v>
      </c>
      <c r="DB49" s="21">
        <f t="shared" ref="DB49:DB86" si="335">+IF(CZ49=0,,CY49/CZ49*100)</f>
        <v>0</v>
      </c>
      <c r="DC49" s="79">
        <f t="shared" ref="DC49:DD86" si="336">+IF(CW49=0,,CY49/CW49*100)</f>
        <v>0</v>
      </c>
      <c r="DD49" s="79">
        <f t="shared" si="336"/>
        <v>0</v>
      </c>
      <c r="DE49" s="79">
        <f t="shared" ref="DE49:DF55" si="337">+(O49+S49)*AC49/1000</f>
        <v>0</v>
      </c>
      <c r="DF49" s="79">
        <f t="shared" si="337"/>
        <v>0</v>
      </c>
      <c r="DG49" s="79">
        <f t="shared" ref="DG49:DG55" si="338">+AF49*(Q49+U49)/1000</f>
        <v>0</v>
      </c>
      <c r="DH49" s="51">
        <f t="shared" ref="DH49:DH86" si="339">+DE49+DF49+DG49</f>
        <v>0</v>
      </c>
      <c r="DI49" s="39"/>
      <c r="DJ49" s="80">
        <f t="shared" ref="DJ49:DJ55" si="340">+(F49+J49)*W49/1000</f>
        <v>0</v>
      </c>
      <c r="DK49" s="39">
        <f t="shared" ref="DK49:DK55" si="341">+Y49*(G49+K49)/1000</f>
        <v>0</v>
      </c>
      <c r="DL49" s="39">
        <f t="shared" ref="DL49:DL55" si="342">+(H49+L49)*AA49/1000</f>
        <v>0</v>
      </c>
      <c r="DM49" s="48">
        <f>+AT49-'[2]тарифы (12-13) население 15%'!AP77</f>
        <v>0</v>
      </c>
      <c r="DN49" s="39"/>
      <c r="DO49" s="39"/>
      <c r="DP49" s="39"/>
      <c r="DQ49" s="39"/>
      <c r="DR49" s="39"/>
      <c r="DS49" s="39"/>
      <c r="DT49" s="39"/>
      <c r="DU49" s="19">
        <f t="shared" si="251"/>
        <v>0</v>
      </c>
      <c r="DV49" s="40">
        <f t="shared" si="267"/>
        <v>0</v>
      </c>
      <c r="DW49" s="40">
        <f t="shared" si="268"/>
        <v>0</v>
      </c>
      <c r="DX49" s="46"/>
      <c r="DY49" s="21">
        <f t="shared" si="252"/>
        <v>0</v>
      </c>
      <c r="DZ49" s="19">
        <f t="shared" si="253"/>
        <v>0</v>
      </c>
      <c r="EA49" s="19">
        <f t="shared" si="254"/>
        <v>0</v>
      </c>
      <c r="EB49" s="19"/>
      <c r="EC49" s="48">
        <f t="shared" si="269"/>
        <v>0</v>
      </c>
      <c r="ED49" s="48">
        <f t="shared" si="270"/>
        <v>0</v>
      </c>
      <c r="EE49" s="22"/>
      <c r="EF49" s="22"/>
      <c r="EG49" s="22">
        <f t="shared" si="255"/>
        <v>0</v>
      </c>
      <c r="EH49" s="22"/>
      <c r="EI49" s="22"/>
      <c r="EJ49" s="22">
        <f t="shared" si="256"/>
        <v>0</v>
      </c>
      <c r="EK49" s="40"/>
      <c r="EL49" s="19">
        <v>0</v>
      </c>
      <c r="EM49" s="19"/>
      <c r="EN49" s="40">
        <f t="shared" si="271"/>
        <v>0</v>
      </c>
      <c r="EO49" s="40">
        <f t="shared" si="272"/>
        <v>0</v>
      </c>
      <c r="EP49" s="40"/>
      <c r="EQ49" s="21">
        <f t="shared" si="257"/>
        <v>0</v>
      </c>
      <c r="ER49" s="21"/>
      <c r="ES49" s="19">
        <f t="shared" si="286"/>
        <v>0</v>
      </c>
      <c r="ET49" s="19"/>
      <c r="EU49" s="19">
        <f t="shared" si="258"/>
        <v>0</v>
      </c>
      <c r="EV49" s="21"/>
      <c r="EW49" s="39"/>
      <c r="EX49" s="39">
        <f t="shared" si="259"/>
        <v>0</v>
      </c>
      <c r="EY49" s="39">
        <f t="shared" si="149"/>
        <v>0</v>
      </c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19">
        <f t="shared" si="274"/>
        <v>0</v>
      </c>
      <c r="FK49" s="19">
        <f t="shared" si="275"/>
        <v>0</v>
      </c>
      <c r="FL49" s="19">
        <f t="shared" si="276"/>
        <v>0</v>
      </c>
      <c r="FM49" s="19"/>
      <c r="FN49" s="19"/>
      <c r="FO49" s="22">
        <f t="shared" si="260"/>
        <v>0</v>
      </c>
      <c r="FP49" s="22"/>
      <c r="FQ49" s="22">
        <f t="shared" si="125"/>
        <v>0</v>
      </c>
      <c r="FR49" s="22">
        <f t="shared" si="261"/>
        <v>0</v>
      </c>
      <c r="FS49" s="22"/>
      <c r="FT49" s="22">
        <f t="shared" ref="FT49:FT55" si="343">+IF(FR49=0,,FS49/FR49*100)</f>
        <v>0</v>
      </c>
      <c r="FU49" s="40"/>
      <c r="FV49" s="19">
        <f t="shared" ref="FV49:FV51" si="344">+(FO49-FR49/1.18)*FN49</f>
        <v>0</v>
      </c>
      <c r="FW49" s="19">
        <f t="shared" si="277"/>
        <v>0</v>
      </c>
      <c r="FX49" s="19">
        <f t="shared" si="278"/>
        <v>0</v>
      </c>
      <c r="FY49" s="19">
        <f t="shared" si="279"/>
        <v>0</v>
      </c>
      <c r="FZ49" s="19">
        <f t="shared" si="280"/>
        <v>0</v>
      </c>
      <c r="GA49" s="19">
        <f t="shared" si="281"/>
        <v>0</v>
      </c>
      <c r="GB49" s="19">
        <f t="shared" si="282"/>
        <v>0</v>
      </c>
      <c r="GC49" s="20">
        <f t="shared" si="263"/>
        <v>0</v>
      </c>
      <c r="GD49" s="20">
        <f t="shared" si="264"/>
        <v>0</v>
      </c>
      <c r="GE49" s="21">
        <f t="shared" si="283"/>
        <v>0</v>
      </c>
      <c r="GF49" s="21">
        <f t="shared" si="284"/>
        <v>0</v>
      </c>
      <c r="GG49" s="19"/>
      <c r="GH49" s="19"/>
      <c r="GI49" s="19">
        <f t="shared" ref="GI49:GI51" si="345">+FP49*FM49</f>
        <v>0</v>
      </c>
      <c r="GJ49" s="21">
        <f t="shared" si="285"/>
        <v>0</v>
      </c>
      <c r="GK49" s="19"/>
      <c r="GL49" s="19"/>
      <c r="GM49" s="19"/>
      <c r="GN49" s="19"/>
      <c r="GO49" s="22"/>
      <c r="GP49" s="22"/>
      <c r="GQ49" s="22">
        <f t="shared" ref="GQ49:GQ51" si="346">+IF(GO49=0,,GP49/GO49*100)</f>
        <v>0</v>
      </c>
      <c r="GR49" s="22"/>
      <c r="GS49" s="22"/>
      <c r="GT49" s="22">
        <f t="shared" ref="GT49:GT51" si="347">+IF(GR49=0,,GS49/GR49*100)</f>
        <v>0</v>
      </c>
      <c r="GU49" s="43"/>
      <c r="GV49" s="19"/>
      <c r="GW49" s="19"/>
      <c r="GX49" s="19">
        <f t="shared" ref="GX49" si="348">+GS49/1.18*GN49</f>
        <v>0</v>
      </c>
      <c r="GY49" s="19">
        <f t="shared" ref="GY49:GY51" si="349">+GP49*GN49</f>
        <v>0</v>
      </c>
      <c r="GZ49" s="23">
        <f t="shared" ref="GZ49:GZ65" si="350">+IF(GY49=0,,GX49/GY49*100)</f>
        <v>0</v>
      </c>
      <c r="HA49" s="22"/>
      <c r="HB49" s="22"/>
      <c r="HC49" s="22">
        <f t="shared" ref="HC49:HC51" si="351">+IF(HA49=0,,HB49/HA49*100)</f>
        <v>0</v>
      </c>
      <c r="HD49" s="22"/>
      <c r="HE49" s="22"/>
      <c r="HF49" s="22">
        <f t="shared" ref="HF49:HF51" si="352">+IF(HD49=0,,HE49/HD49*100)</f>
        <v>0</v>
      </c>
      <c r="HG49" s="233"/>
    </row>
    <row r="50" spans="2:215" ht="17.45" customHeight="1">
      <c r="B50" s="10"/>
      <c r="C50" s="161" t="s">
        <v>145</v>
      </c>
      <c r="D50" s="143">
        <f t="shared" si="287"/>
        <v>686.3900000000001</v>
      </c>
      <c r="E50" s="73">
        <f>+'[2]2012(объемы годовые)'!M69</f>
        <v>388.43</v>
      </c>
      <c r="F50" s="75">
        <f>+E50*$F$3</f>
        <v>214.64641799999998</v>
      </c>
      <c r="G50" s="75">
        <f>+E50*$G$3</f>
        <v>57.914913000000006</v>
      </c>
      <c r="H50" s="75">
        <f>+E50*$H$3</f>
        <v>115.86866900000001</v>
      </c>
      <c r="I50" s="73">
        <f>+'[2]2012(объемы годовые)'!Q69+'[2]2012(объемы годовые)'!U69+'[2]2012(объемы годовые)'!Y69</f>
        <v>297.96000000000004</v>
      </c>
      <c r="J50" s="75">
        <f>+I50*$J$3</f>
        <v>164.65269600000002</v>
      </c>
      <c r="K50" s="75">
        <f>+I50*$K$3</f>
        <v>44.425836000000011</v>
      </c>
      <c r="L50" s="75">
        <f>+I50*$L$3</f>
        <v>88.881468000000012</v>
      </c>
      <c r="M50" s="73">
        <f>+'[5]тарифы (НВВ) население на 12%'!$M$82</f>
        <v>686.3900000000001</v>
      </c>
      <c r="N50" s="46">
        <f>+E50</f>
        <v>388.43</v>
      </c>
      <c r="O50" s="74">
        <v>229.018328</v>
      </c>
      <c r="P50" s="74"/>
      <c r="Q50" s="74">
        <v>159.41167200000001</v>
      </c>
      <c r="R50" s="46">
        <f>+I50</f>
        <v>297.96000000000004</v>
      </c>
      <c r="S50" s="74">
        <v>175.67721600000002</v>
      </c>
      <c r="T50" s="74"/>
      <c r="U50" s="74">
        <v>122.28278400000001</v>
      </c>
      <c r="V50" s="52">
        <v>1410.91</v>
      </c>
      <c r="W50" s="52">
        <v>1410.91</v>
      </c>
      <c r="X50" s="52">
        <f t="shared" si="288"/>
        <v>100</v>
      </c>
      <c r="Y50" s="52">
        <v>1494.15</v>
      </c>
      <c r="Z50" s="22">
        <f t="shared" si="289"/>
        <v>105.89973846666336</v>
      </c>
      <c r="AA50" s="52">
        <v>1565.87</v>
      </c>
      <c r="AB50" s="22">
        <f t="shared" si="290"/>
        <v>104.80005354214769</v>
      </c>
      <c r="AC50" s="52">
        <v>1565.87</v>
      </c>
      <c r="AD50" s="52">
        <v>1565.87</v>
      </c>
      <c r="AE50" s="22">
        <f t="shared" si="291"/>
        <v>111.69956637524187</v>
      </c>
      <c r="AF50" s="22">
        <v>1749.07</v>
      </c>
      <c r="AG50" s="22">
        <f t="shared" si="265"/>
        <v>111.69956637524187</v>
      </c>
      <c r="AH50" s="52">
        <v>1410.91</v>
      </c>
      <c r="AI50" s="52">
        <v>1410.91</v>
      </c>
      <c r="AJ50" s="52">
        <f t="shared" si="292"/>
        <v>100</v>
      </c>
      <c r="AK50" s="52">
        <v>1494.15</v>
      </c>
      <c r="AL50" s="22">
        <f t="shared" si="293"/>
        <v>105.89973846666336</v>
      </c>
      <c r="AM50" s="52">
        <v>1565.87</v>
      </c>
      <c r="AN50" s="22">
        <f t="shared" si="294"/>
        <v>104.80005354214769</v>
      </c>
      <c r="AO50" s="22">
        <f t="shared" si="295"/>
        <v>110.98298261405759</v>
      </c>
      <c r="AP50" s="22">
        <f t="shared" si="296"/>
        <v>110.98298261405759</v>
      </c>
      <c r="AQ50" s="22">
        <v>1565.87</v>
      </c>
      <c r="AR50" s="22">
        <v>1565.87</v>
      </c>
      <c r="AS50" s="22">
        <f t="shared" si="297"/>
        <v>111.69956637524187</v>
      </c>
      <c r="AT50" s="22">
        <v>1749.07</v>
      </c>
      <c r="AU50" s="22">
        <f t="shared" si="266"/>
        <v>111.69956637524187</v>
      </c>
      <c r="AV50" s="77"/>
      <c r="AW50" s="77">
        <f t="shared" si="298"/>
        <v>7.7965763998583837</v>
      </c>
      <c r="AX50" s="78" t="s">
        <v>190</v>
      </c>
      <c r="AY50" s="22">
        <f t="shared" si="217"/>
        <v>0.68639010000000011</v>
      </c>
      <c r="AZ50" s="22">
        <f>+[7]БПр!$BX$1448/1000</f>
        <v>0.38843000000000005</v>
      </c>
      <c r="BA50" s="22"/>
      <c r="BB50" s="22">
        <f>+([7]БПр!$BY$1450+[7]БПр!$BO$1450)/1000</f>
        <v>0.29796010000000001</v>
      </c>
      <c r="BC50" s="22">
        <v>1749.07</v>
      </c>
      <c r="BD50" s="22">
        <v>1885.75</v>
      </c>
      <c r="BE50" s="22">
        <f t="shared" si="218"/>
        <v>107.81443853019033</v>
      </c>
      <c r="BF50" s="22">
        <v>1749.07</v>
      </c>
      <c r="BG50" s="22">
        <v>1822.53</v>
      </c>
      <c r="BH50" s="22">
        <f t="shared" si="219"/>
        <v>104.19994625715381</v>
      </c>
      <c r="BI50" s="22">
        <f>+BD50-BG50/1.18</f>
        <v>341.23305084745766</v>
      </c>
      <c r="BJ50" s="40" t="s">
        <v>191</v>
      </c>
      <c r="BK50" s="19">
        <f t="shared" ref="BK50:BK86" si="353">+BL50+BM50+BN50</f>
        <v>884.83522775254255</v>
      </c>
      <c r="BL50" s="19">
        <f t="shared" si="299"/>
        <v>464.44048415254241</v>
      </c>
      <c r="BM50" s="19">
        <f>+(W50-AI50)*E50/1000</f>
        <v>0</v>
      </c>
      <c r="BN50" s="19">
        <f t="shared" si="300"/>
        <v>420.39474360000008</v>
      </c>
      <c r="BO50" s="19">
        <f t="shared" ref="BO50:BO86" si="354">+BP50+BQ50+BR50</f>
        <v>937.03819205084756</v>
      </c>
      <c r="BP50" s="19">
        <f t="shared" si="301"/>
        <v>491.8412580508475</v>
      </c>
      <c r="BQ50" s="19">
        <f>+(Y50-AK50)*E50/1000</f>
        <v>0</v>
      </c>
      <c r="BR50" s="19">
        <f t="shared" si="302"/>
        <v>445.19693400000006</v>
      </c>
      <c r="BS50" s="19">
        <f t="shared" ref="BS50:BS86" si="355">+BT50+BV50+BU50</f>
        <v>982.01652697966097</v>
      </c>
      <c r="BT50" s="19">
        <f t="shared" si="303"/>
        <v>515.44990177966099</v>
      </c>
      <c r="BU50" s="19">
        <f>+(AA50-AM50)*E50/1000</f>
        <v>0</v>
      </c>
      <c r="BV50" s="19">
        <f t="shared" si="304"/>
        <v>466.56662520000003</v>
      </c>
      <c r="BW50" s="19">
        <f t="shared" si="172"/>
        <v>1074.7969167796609</v>
      </c>
      <c r="BX50" s="19">
        <f t="shared" si="305"/>
        <v>515.44990177966099</v>
      </c>
      <c r="BY50" s="19">
        <f t="shared" si="306"/>
        <v>92.780389799999966</v>
      </c>
      <c r="BZ50" s="19">
        <f t="shared" si="307"/>
        <v>466.56662520000003</v>
      </c>
      <c r="CA50" s="19">
        <f t="shared" si="308"/>
        <v>1200.5452106694916</v>
      </c>
      <c r="CB50" s="19">
        <f t="shared" si="309"/>
        <v>575.75530516949152</v>
      </c>
      <c r="CC50" s="19">
        <f t="shared" si="310"/>
        <v>103.63700829999999</v>
      </c>
      <c r="CD50" s="19">
        <f t="shared" si="311"/>
        <v>521.1528972000001</v>
      </c>
      <c r="CE50" s="48">
        <f t="shared" si="312"/>
        <v>1410.91</v>
      </c>
      <c r="CF50" s="48">
        <f t="shared" si="313"/>
        <v>1494.15</v>
      </c>
      <c r="CG50" s="48">
        <f t="shared" si="314"/>
        <v>1565.87</v>
      </c>
      <c r="CH50" s="48">
        <f t="shared" si="315"/>
        <v>1410.91</v>
      </c>
      <c r="CI50" s="48">
        <f t="shared" si="316"/>
        <v>1494.1499999999999</v>
      </c>
      <c r="CJ50" s="48">
        <f t="shared" si="317"/>
        <v>1565.87</v>
      </c>
      <c r="CK50" s="48">
        <f t="shared" si="318"/>
        <v>1289.1143923316808</v>
      </c>
      <c r="CL50" s="48">
        <f t="shared" si="319"/>
        <v>1365.1687700153666</v>
      </c>
      <c r="CM50" s="48">
        <f t="shared" si="320"/>
        <v>1430.6976019167832</v>
      </c>
      <c r="CN50" s="48">
        <f t="shared" si="321"/>
        <v>1361.6602547546104</v>
      </c>
      <c r="CO50" s="48">
        <f t="shared" si="322"/>
        <v>1565.87</v>
      </c>
      <c r="CP50" s="48">
        <f t="shared" si="323"/>
        <v>1749.0700000000002</v>
      </c>
      <c r="CQ50" s="48">
        <f t="shared" si="324"/>
        <v>1565.87</v>
      </c>
      <c r="CR50" s="48">
        <f t="shared" si="325"/>
        <v>1749.07</v>
      </c>
      <c r="CS50" s="48">
        <f t="shared" si="326"/>
        <v>1565.8691367584911</v>
      </c>
      <c r="CT50" s="48">
        <f t="shared" si="327"/>
        <v>1749.0715346515703</v>
      </c>
      <c r="CU50" s="48">
        <f t="shared" si="328"/>
        <v>1657.4703357050309</v>
      </c>
      <c r="CV50" s="48">
        <f t="shared" si="329"/>
        <v>121.72422084859409</v>
      </c>
      <c r="CW50" s="19">
        <f t="shared" si="330"/>
        <v>483.74204881894929</v>
      </c>
      <c r="CX50" s="19">
        <f t="shared" si="331"/>
        <v>570.81561760635998</v>
      </c>
      <c r="CY50" s="19">
        <f t="shared" si="332"/>
        <v>540.19923933084749</v>
      </c>
      <c r="CZ50" s="19">
        <f t="shared" si="333"/>
        <v>637.43510241040008</v>
      </c>
      <c r="DA50" s="21">
        <f t="shared" si="334"/>
        <v>84.74576271186443</v>
      </c>
      <c r="DB50" s="21">
        <f t="shared" si="335"/>
        <v>84.745762711864401</v>
      </c>
      <c r="DC50" s="79">
        <f t="shared" si="336"/>
        <v>111.67092888652905</v>
      </c>
      <c r="DD50" s="79">
        <f t="shared" si="336"/>
        <v>111.6709288865291</v>
      </c>
      <c r="DE50" s="79">
        <f t="shared" si="337"/>
        <v>633.70061148328</v>
      </c>
      <c r="DF50" s="79">
        <f t="shared" si="337"/>
        <v>0</v>
      </c>
      <c r="DG50" s="79">
        <f t="shared" si="338"/>
        <v>492.70332215591998</v>
      </c>
      <c r="DH50" s="51">
        <f t="shared" si="339"/>
        <v>1126.4039336392</v>
      </c>
      <c r="DI50" s="39"/>
      <c r="DJ50" s="80">
        <f t="shared" si="340"/>
        <v>535.15691293374005</v>
      </c>
      <c r="DK50" s="39">
        <f t="shared" si="341"/>
        <v>152.91243011835002</v>
      </c>
      <c r="DL50" s="39">
        <f t="shared" si="342"/>
        <v>320.61209702419001</v>
      </c>
      <c r="DM50" s="48">
        <f>+AT50-'[2]тарифы (12-13) население 15%'!AP78</f>
        <v>0</v>
      </c>
      <c r="DN50" s="39"/>
      <c r="DO50" s="39"/>
      <c r="DP50" s="39"/>
      <c r="DQ50" s="39"/>
      <c r="DR50" s="39"/>
      <c r="DS50" s="39"/>
      <c r="DT50" s="39"/>
      <c r="DU50" s="19">
        <f t="shared" si="251"/>
        <v>575.75530516949163</v>
      </c>
      <c r="DV50" s="40">
        <f t="shared" si="267"/>
        <v>599.93671855932212</v>
      </c>
      <c r="DW50" s="40">
        <f t="shared" si="268"/>
        <v>732.48187250000012</v>
      </c>
      <c r="DX50" s="21">
        <f>+'[1]тарифы (НВВ) население на 4,2%'!CN82</f>
        <v>84.74576271186443</v>
      </c>
      <c r="DY50" s="21">
        <f t="shared" si="252"/>
        <v>81.904650624554804</v>
      </c>
      <c r="DZ50" s="19">
        <f t="shared" si="253"/>
        <v>1.2005443322070002</v>
      </c>
      <c r="EA50" s="19">
        <f t="shared" si="254"/>
        <v>1.2943601310750004</v>
      </c>
      <c r="EB50" s="19"/>
      <c r="EC50" s="48">
        <f>+(BC50-BF50/1.18)*AZ50</f>
        <v>103.63595493050845</v>
      </c>
      <c r="ED50" s="48">
        <f>+(BD50-BG50/1.18)*AZ50</f>
        <v>132.54515394067801</v>
      </c>
      <c r="EE50" s="22">
        <v>1885.75</v>
      </c>
      <c r="EF50" s="22">
        <v>2044.69</v>
      </c>
      <c r="EG50" s="22">
        <f t="shared" si="255"/>
        <v>108.4284767333952</v>
      </c>
      <c r="EH50" s="22">
        <v>1822.53</v>
      </c>
      <c r="EI50" s="22">
        <v>1976.53</v>
      </c>
      <c r="EJ50" s="22">
        <f t="shared" si="256"/>
        <v>108.44979232166274</v>
      </c>
      <c r="EK50" s="40" t="s">
        <v>192</v>
      </c>
      <c r="EL50" s="19">
        <v>0.68639010000000011</v>
      </c>
      <c r="EM50" s="19">
        <v>0.38843000000000005</v>
      </c>
      <c r="EN50" s="40">
        <f t="shared" si="271"/>
        <v>650.63012533898313</v>
      </c>
      <c r="EO50" s="40">
        <f t="shared" si="272"/>
        <v>794.21893670000009</v>
      </c>
      <c r="EP50" s="40"/>
      <c r="EQ50" s="21">
        <f t="shared" si="257"/>
        <v>81.920751983372227</v>
      </c>
      <c r="ER50" s="21"/>
      <c r="ES50" s="19">
        <f t="shared" si="286"/>
        <v>1294.3601310750003</v>
      </c>
      <c r="ET50" s="19"/>
      <c r="EU50" s="19">
        <f t="shared" si="258"/>
        <v>1403.4549735690002</v>
      </c>
      <c r="EV50" s="21"/>
      <c r="EW50" s="39"/>
      <c r="EX50" s="39">
        <f t="shared" si="259"/>
        <v>1294.3601310750003</v>
      </c>
      <c r="EY50" s="39">
        <f t="shared" si="149"/>
        <v>1403.4549735690002</v>
      </c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19">
        <f t="shared" si="274"/>
        <v>132.54515394067801</v>
      </c>
      <c r="FK50" s="19">
        <f t="shared" si="275"/>
        <v>143.58881136101698</v>
      </c>
      <c r="FL50" s="19">
        <f t="shared" si="276"/>
        <v>276.13396530169496</v>
      </c>
      <c r="FM50" s="19">
        <v>0.69</v>
      </c>
      <c r="FN50" s="19">
        <v>0.39</v>
      </c>
      <c r="FO50" s="22">
        <v>1992.97</v>
      </c>
      <c r="FP50" s="22">
        <v>2045.46</v>
      </c>
      <c r="FQ50" s="22"/>
      <c r="FR50" s="22">
        <v>1992.97</v>
      </c>
      <c r="FS50" s="22">
        <v>2045.46</v>
      </c>
      <c r="FT50" s="22"/>
      <c r="FU50" s="40" t="s">
        <v>650</v>
      </c>
      <c r="FV50" s="19"/>
      <c r="FW50" s="19"/>
      <c r="FX50" s="19"/>
      <c r="FY50" s="19"/>
      <c r="FZ50" s="19"/>
      <c r="GA50" s="19"/>
      <c r="GB50" s="19"/>
      <c r="GC50" s="20"/>
      <c r="GD50" s="20"/>
      <c r="GE50" s="21"/>
      <c r="GF50" s="21"/>
      <c r="GG50" s="19"/>
      <c r="GH50" s="19"/>
      <c r="GI50" s="19"/>
      <c r="GJ50" s="21"/>
      <c r="GK50" s="19"/>
      <c r="GL50" s="19"/>
      <c r="GM50" s="19"/>
      <c r="GN50" s="19"/>
      <c r="GO50" s="22">
        <v>2045.46</v>
      </c>
      <c r="GP50" s="22">
        <v>2090.86</v>
      </c>
      <c r="GQ50" s="22"/>
      <c r="GR50" s="22">
        <v>2045.46</v>
      </c>
      <c r="GS50" s="22">
        <v>2090.86</v>
      </c>
      <c r="GT50" s="22"/>
      <c r="GU50" s="40" t="s">
        <v>650</v>
      </c>
      <c r="GV50" s="19"/>
      <c r="GW50" s="19"/>
      <c r="GX50" s="19"/>
      <c r="GY50" s="19"/>
      <c r="GZ50" s="23"/>
      <c r="HA50" s="22">
        <v>2090.86</v>
      </c>
      <c r="HB50" s="22">
        <v>2138.42</v>
      </c>
      <c r="HC50" s="22"/>
      <c r="HD50" s="22">
        <v>2090.86</v>
      </c>
      <c r="HE50" s="22">
        <v>2138.42</v>
      </c>
      <c r="HF50" s="22">
        <f t="shared" si="352"/>
        <v>102.27466210076237</v>
      </c>
      <c r="HG50" s="236" t="s">
        <v>650</v>
      </c>
    </row>
    <row r="51" spans="2:215" ht="15.75">
      <c r="B51" s="10" t="s">
        <v>193</v>
      </c>
      <c r="C51" s="81" t="s">
        <v>194</v>
      </c>
      <c r="D51" s="143">
        <f t="shared" si="287"/>
        <v>0</v>
      </c>
      <c r="E51" s="46"/>
      <c r="F51" s="46"/>
      <c r="G51" s="46"/>
      <c r="H51" s="46"/>
      <c r="I51" s="46"/>
      <c r="J51" s="46"/>
      <c r="K51" s="46"/>
      <c r="L51" s="46"/>
      <c r="M51" s="73">
        <f>+N51+R51</f>
        <v>0</v>
      </c>
      <c r="N51" s="46"/>
      <c r="O51" s="46"/>
      <c r="P51" s="46"/>
      <c r="Q51" s="46"/>
      <c r="R51" s="46"/>
      <c r="S51" s="46"/>
      <c r="T51" s="46"/>
      <c r="U51" s="46"/>
      <c r="V51" s="52"/>
      <c r="W51" s="52"/>
      <c r="X51" s="52">
        <f t="shared" si="288"/>
        <v>0</v>
      </c>
      <c r="Y51" s="52"/>
      <c r="Z51" s="22">
        <f t="shared" si="289"/>
        <v>0</v>
      </c>
      <c r="AA51" s="52"/>
      <c r="AB51" s="22">
        <f t="shared" si="290"/>
        <v>0</v>
      </c>
      <c r="AC51" s="22"/>
      <c r="AD51" s="22"/>
      <c r="AE51" s="22">
        <f t="shared" si="291"/>
        <v>0</v>
      </c>
      <c r="AF51" s="22"/>
      <c r="AG51" s="22">
        <f t="shared" si="265"/>
        <v>0</v>
      </c>
      <c r="AH51" s="52"/>
      <c r="AI51" s="52"/>
      <c r="AJ51" s="52">
        <f t="shared" si="292"/>
        <v>0</v>
      </c>
      <c r="AK51" s="52"/>
      <c r="AL51" s="22">
        <f t="shared" si="293"/>
        <v>0</v>
      </c>
      <c r="AM51" s="52"/>
      <c r="AN51" s="22">
        <f t="shared" si="294"/>
        <v>0</v>
      </c>
      <c r="AO51" s="22">
        <f t="shared" si="295"/>
        <v>0</v>
      </c>
      <c r="AP51" s="22">
        <f t="shared" si="296"/>
        <v>0</v>
      </c>
      <c r="AQ51" s="22"/>
      <c r="AR51" s="22"/>
      <c r="AS51" s="22">
        <f t="shared" si="297"/>
        <v>0</v>
      </c>
      <c r="AT51" s="22"/>
      <c r="AU51" s="22">
        <f t="shared" si="266"/>
        <v>0</v>
      </c>
      <c r="AV51" s="77"/>
      <c r="AW51" s="77">
        <f t="shared" si="298"/>
        <v>0</v>
      </c>
      <c r="AX51" s="78"/>
      <c r="AY51" s="22">
        <f t="shared" si="217"/>
        <v>0</v>
      </c>
      <c r="AZ51" s="22"/>
      <c r="BA51" s="22"/>
      <c r="BB51" s="22"/>
      <c r="BC51" s="22"/>
      <c r="BD51" s="22"/>
      <c r="BE51" s="22">
        <f t="shared" si="218"/>
        <v>0</v>
      </c>
      <c r="BF51" s="22"/>
      <c r="BG51" s="22"/>
      <c r="BH51" s="22">
        <f t="shared" si="219"/>
        <v>0</v>
      </c>
      <c r="BI51" s="22"/>
      <c r="BJ51" s="40"/>
      <c r="BK51" s="19">
        <f t="shared" si="353"/>
        <v>0</v>
      </c>
      <c r="BL51" s="19">
        <f t="shared" si="299"/>
        <v>0</v>
      </c>
      <c r="BM51" s="19">
        <f t="shared" ref="BM51:BM55" si="356">+(W51-ROUND(AI51/1.18,2))*E51/1000</f>
        <v>0</v>
      </c>
      <c r="BN51" s="19">
        <f t="shared" si="300"/>
        <v>0</v>
      </c>
      <c r="BO51" s="19">
        <f t="shared" si="354"/>
        <v>0</v>
      </c>
      <c r="BP51" s="19">
        <f t="shared" si="301"/>
        <v>0</v>
      </c>
      <c r="BQ51" s="19">
        <f t="shared" ref="BQ51:BQ55" si="357">+(Y51-ROUND(AK51/1.18,2))*E51/1000</f>
        <v>0</v>
      </c>
      <c r="BR51" s="19">
        <f t="shared" si="302"/>
        <v>0</v>
      </c>
      <c r="BS51" s="19">
        <f t="shared" si="355"/>
        <v>0</v>
      </c>
      <c r="BT51" s="19">
        <f t="shared" si="303"/>
        <v>0</v>
      </c>
      <c r="BU51" s="19">
        <f t="shared" ref="BU51:BU55" si="358">+(AA51-ROUND(AM51/1.18,2))*E51/1000</f>
        <v>0</v>
      </c>
      <c r="BV51" s="19">
        <f t="shared" si="304"/>
        <v>0</v>
      </c>
      <c r="BW51" s="19">
        <f t="shared" si="172"/>
        <v>0</v>
      </c>
      <c r="BX51" s="19">
        <f t="shared" si="305"/>
        <v>0</v>
      </c>
      <c r="BY51" s="19">
        <f t="shared" si="306"/>
        <v>0</v>
      </c>
      <c r="BZ51" s="19">
        <f t="shared" si="307"/>
        <v>0</v>
      </c>
      <c r="CA51" s="19">
        <f t="shared" si="308"/>
        <v>0</v>
      </c>
      <c r="CB51" s="19">
        <f t="shared" si="309"/>
        <v>0</v>
      </c>
      <c r="CC51" s="19">
        <f t="shared" si="310"/>
        <v>0</v>
      </c>
      <c r="CD51" s="19">
        <f t="shared" si="311"/>
        <v>0</v>
      </c>
      <c r="CE51" s="48">
        <f t="shared" si="312"/>
        <v>0</v>
      </c>
      <c r="CF51" s="48">
        <f t="shared" si="313"/>
        <v>0</v>
      </c>
      <c r="CG51" s="48">
        <f t="shared" si="314"/>
        <v>0</v>
      </c>
      <c r="CH51" s="48">
        <f t="shared" si="315"/>
        <v>0</v>
      </c>
      <c r="CI51" s="48">
        <f t="shared" si="316"/>
        <v>0</v>
      </c>
      <c r="CJ51" s="48">
        <f t="shared" si="317"/>
        <v>0</v>
      </c>
      <c r="CK51" s="48">
        <f t="shared" si="318"/>
        <v>0</v>
      </c>
      <c r="CL51" s="48">
        <f t="shared" si="319"/>
        <v>0</v>
      </c>
      <c r="CM51" s="48">
        <f t="shared" si="320"/>
        <v>0</v>
      </c>
      <c r="CN51" s="48">
        <f t="shared" si="321"/>
        <v>0</v>
      </c>
      <c r="CO51" s="48">
        <f t="shared" si="322"/>
        <v>0</v>
      </c>
      <c r="CP51" s="48">
        <f t="shared" si="323"/>
        <v>0</v>
      </c>
      <c r="CQ51" s="48">
        <f t="shared" si="324"/>
        <v>0</v>
      </c>
      <c r="CR51" s="48">
        <f t="shared" si="325"/>
        <v>0</v>
      </c>
      <c r="CS51" s="48">
        <f t="shared" si="326"/>
        <v>0</v>
      </c>
      <c r="CT51" s="48">
        <f t="shared" si="327"/>
        <v>0</v>
      </c>
      <c r="CU51" s="48">
        <f t="shared" si="328"/>
        <v>0</v>
      </c>
      <c r="CV51" s="48">
        <f t="shared" si="329"/>
        <v>0</v>
      </c>
      <c r="CW51" s="19">
        <f t="shared" si="330"/>
        <v>0</v>
      </c>
      <c r="CX51" s="19">
        <f t="shared" si="331"/>
        <v>0</v>
      </c>
      <c r="CY51" s="19">
        <f t="shared" si="332"/>
        <v>0</v>
      </c>
      <c r="CZ51" s="19">
        <f t="shared" si="333"/>
        <v>0</v>
      </c>
      <c r="DA51" s="21">
        <f t="shared" si="334"/>
        <v>0</v>
      </c>
      <c r="DB51" s="21">
        <f t="shared" si="335"/>
        <v>0</v>
      </c>
      <c r="DC51" s="79">
        <f t="shared" si="336"/>
        <v>0</v>
      </c>
      <c r="DD51" s="79">
        <f t="shared" si="336"/>
        <v>0</v>
      </c>
      <c r="DE51" s="79">
        <f t="shared" si="337"/>
        <v>0</v>
      </c>
      <c r="DF51" s="79">
        <f t="shared" si="337"/>
        <v>0</v>
      </c>
      <c r="DG51" s="79">
        <f t="shared" si="338"/>
        <v>0</v>
      </c>
      <c r="DH51" s="51">
        <f t="shared" si="339"/>
        <v>0</v>
      </c>
      <c r="DI51" s="39"/>
      <c r="DJ51" s="80">
        <f t="shared" si="340"/>
        <v>0</v>
      </c>
      <c r="DK51" s="39">
        <f t="shared" si="341"/>
        <v>0</v>
      </c>
      <c r="DL51" s="39">
        <f t="shared" si="342"/>
        <v>0</v>
      </c>
      <c r="DM51" s="48">
        <f>+AT51-'[2]тарифы (12-13) население 15%'!AP79</f>
        <v>0</v>
      </c>
      <c r="DN51" s="39"/>
      <c r="DO51" s="39"/>
      <c r="DP51" s="39"/>
      <c r="DQ51" s="39"/>
      <c r="DR51" s="39"/>
      <c r="DS51" s="39"/>
      <c r="DT51" s="39"/>
      <c r="DU51" s="19">
        <f t="shared" si="251"/>
        <v>0</v>
      </c>
      <c r="DV51" s="40">
        <f t="shared" si="267"/>
        <v>0</v>
      </c>
      <c r="DW51" s="40">
        <f t="shared" si="268"/>
        <v>0</v>
      </c>
      <c r="DX51" s="46"/>
      <c r="DY51" s="21">
        <f t="shared" si="252"/>
        <v>0</v>
      </c>
      <c r="DZ51" s="19">
        <f t="shared" si="253"/>
        <v>0</v>
      </c>
      <c r="EA51" s="19">
        <f t="shared" si="254"/>
        <v>0</v>
      </c>
      <c r="EB51" s="19"/>
      <c r="EC51" s="48">
        <f t="shared" si="269"/>
        <v>0</v>
      </c>
      <c r="ED51" s="48">
        <f t="shared" si="270"/>
        <v>0</v>
      </c>
      <c r="EE51" s="22"/>
      <c r="EF51" s="22"/>
      <c r="EG51" s="22">
        <f t="shared" si="255"/>
        <v>0</v>
      </c>
      <c r="EH51" s="22"/>
      <c r="EI51" s="22"/>
      <c r="EJ51" s="22">
        <f t="shared" si="256"/>
        <v>0</v>
      </c>
      <c r="EK51" s="40"/>
      <c r="EL51" s="19"/>
      <c r="EM51" s="19"/>
      <c r="EN51" s="40">
        <f t="shared" si="271"/>
        <v>0</v>
      </c>
      <c r="EO51" s="40">
        <f t="shared" si="272"/>
        <v>0</v>
      </c>
      <c r="EP51" s="40"/>
      <c r="EQ51" s="21">
        <f t="shared" si="257"/>
        <v>0</v>
      </c>
      <c r="ER51" s="21"/>
      <c r="ES51" s="19">
        <f t="shared" si="286"/>
        <v>0</v>
      </c>
      <c r="ET51" s="19"/>
      <c r="EU51" s="19">
        <f t="shared" si="258"/>
        <v>0</v>
      </c>
      <c r="EV51" s="21"/>
      <c r="EW51" s="39"/>
      <c r="EX51" s="39">
        <f t="shared" si="259"/>
        <v>0</v>
      </c>
      <c r="EY51" s="39">
        <f t="shared" si="149"/>
        <v>0</v>
      </c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19">
        <f t="shared" si="274"/>
        <v>0</v>
      </c>
      <c r="FK51" s="19">
        <f t="shared" si="275"/>
        <v>0</v>
      </c>
      <c r="FL51" s="19">
        <f t="shared" si="276"/>
        <v>0</v>
      </c>
      <c r="FM51" s="19"/>
      <c r="FN51" s="19"/>
      <c r="FO51" s="22">
        <f t="shared" si="260"/>
        <v>0</v>
      </c>
      <c r="FP51" s="22"/>
      <c r="FQ51" s="22">
        <f t="shared" si="125"/>
        <v>0</v>
      </c>
      <c r="FR51" s="22">
        <f t="shared" si="261"/>
        <v>0</v>
      </c>
      <c r="FS51" s="22"/>
      <c r="FT51" s="22">
        <f t="shared" si="343"/>
        <v>0</v>
      </c>
      <c r="FU51" s="40"/>
      <c r="FV51" s="19">
        <f t="shared" si="344"/>
        <v>0</v>
      </c>
      <c r="FW51" s="19">
        <f t="shared" si="277"/>
        <v>0</v>
      </c>
      <c r="FX51" s="19">
        <f t="shared" si="278"/>
        <v>0</v>
      </c>
      <c r="FY51" s="19">
        <f t="shared" si="279"/>
        <v>0</v>
      </c>
      <c r="FZ51" s="19">
        <f t="shared" si="280"/>
        <v>0</v>
      </c>
      <c r="GA51" s="19">
        <f t="shared" si="281"/>
        <v>0</v>
      </c>
      <c r="GB51" s="19">
        <f t="shared" si="282"/>
        <v>0</v>
      </c>
      <c r="GC51" s="20">
        <f t="shared" si="263"/>
        <v>0</v>
      </c>
      <c r="GD51" s="20">
        <f t="shared" si="264"/>
        <v>0</v>
      </c>
      <c r="GE51" s="21">
        <f t="shared" si="283"/>
        <v>0</v>
      </c>
      <c r="GF51" s="21">
        <f t="shared" si="284"/>
        <v>0</v>
      </c>
      <c r="GG51" s="19"/>
      <c r="GH51" s="19"/>
      <c r="GI51" s="19">
        <f t="shared" si="345"/>
        <v>0</v>
      </c>
      <c r="GJ51" s="21">
        <f t="shared" si="285"/>
        <v>0</v>
      </c>
      <c r="GK51" s="19"/>
      <c r="GL51" s="19"/>
      <c r="GM51" s="19"/>
      <c r="GN51" s="19"/>
      <c r="GO51" s="22"/>
      <c r="GP51" s="22"/>
      <c r="GQ51" s="22">
        <f t="shared" si="346"/>
        <v>0</v>
      </c>
      <c r="GR51" s="22"/>
      <c r="GS51" s="22"/>
      <c r="GT51" s="22">
        <f t="shared" si="347"/>
        <v>0</v>
      </c>
      <c r="GU51" s="43"/>
      <c r="GV51" s="19"/>
      <c r="GW51" s="19"/>
      <c r="GX51" s="19">
        <f t="shared" ref="GX51" si="359">+GS51/1.18*GN51</f>
        <v>0</v>
      </c>
      <c r="GY51" s="19">
        <f t="shared" si="349"/>
        <v>0</v>
      </c>
      <c r="GZ51" s="23">
        <f t="shared" si="350"/>
        <v>0</v>
      </c>
      <c r="HA51" s="22"/>
      <c r="HB51" s="22"/>
      <c r="HC51" s="22">
        <f t="shared" si="351"/>
        <v>0</v>
      </c>
      <c r="HD51" s="22"/>
      <c r="HE51" s="22"/>
      <c r="HF51" s="22">
        <f t="shared" si="352"/>
        <v>0</v>
      </c>
      <c r="HG51" s="233"/>
    </row>
    <row r="52" spans="2:215" ht="17.45" customHeight="1">
      <c r="B52" s="10"/>
      <c r="C52" s="161" t="s">
        <v>153</v>
      </c>
      <c r="D52" s="143">
        <f t="shared" si="287"/>
        <v>28873.789999999997</v>
      </c>
      <c r="E52" s="73">
        <f>+'[2]2012(объемы годовые)'!M71</f>
        <v>5733.32</v>
      </c>
      <c r="F52" s="75">
        <f>+E52*$F$3</f>
        <v>3168.2326319999997</v>
      </c>
      <c r="G52" s="75">
        <f>+E52*$G$3</f>
        <v>854.83801200000005</v>
      </c>
      <c r="H52" s="75">
        <f>+E52*$H$3</f>
        <v>1710.249356</v>
      </c>
      <c r="I52" s="73">
        <f>+'[2]2012(объемы годовые)'!Q71+'[2]2012(объемы годовые)'!U71+'[2]2012(объемы годовые)'!Y71</f>
        <v>23140.469999999998</v>
      </c>
      <c r="J52" s="75">
        <f>+I52*$J$3</f>
        <v>12787.423721999998</v>
      </c>
      <c r="K52" s="75">
        <f>+I52*$K$3</f>
        <v>3450.2440769999998</v>
      </c>
      <c r="L52" s="75">
        <f>+I52*$L$3</f>
        <v>6902.8022009999995</v>
      </c>
      <c r="M52" s="73">
        <f>+'[5]тарифы (НВВ) население на 12%'!$M$84</f>
        <v>28873.789999999997</v>
      </c>
      <c r="N52" s="46">
        <f t="shared" ref="N52:N55" si="360">+E52</f>
        <v>5733.32</v>
      </c>
      <c r="O52" s="74">
        <v>3380.365472</v>
      </c>
      <c r="P52" s="74"/>
      <c r="Q52" s="74">
        <v>2352.9545279999998</v>
      </c>
      <c r="R52" s="46">
        <f>+I52</f>
        <v>23140.469999999998</v>
      </c>
      <c r="S52" s="74">
        <v>13643.621111999999</v>
      </c>
      <c r="T52" s="74"/>
      <c r="U52" s="74">
        <v>9496.8488879999986</v>
      </c>
      <c r="V52" s="52">
        <v>666.04</v>
      </c>
      <c r="W52" s="52">
        <v>666.04</v>
      </c>
      <c r="X52" s="52">
        <f t="shared" si="288"/>
        <v>100</v>
      </c>
      <c r="Y52" s="52">
        <v>705.34</v>
      </c>
      <c r="Z52" s="22">
        <f t="shared" si="289"/>
        <v>105.90054651372292</v>
      </c>
      <c r="AA52" s="22">
        <v>739.2</v>
      </c>
      <c r="AB52" s="22">
        <f t="shared" si="290"/>
        <v>104.80052173419911</v>
      </c>
      <c r="AC52" s="22">
        <v>739.2</v>
      </c>
      <c r="AD52" s="22">
        <v>739.2</v>
      </c>
      <c r="AE52" s="22">
        <f t="shared" si="291"/>
        <v>111.700487012987</v>
      </c>
      <c r="AF52" s="22">
        <v>825.69</v>
      </c>
      <c r="AG52" s="22">
        <f t="shared" si="265"/>
        <v>111.700487012987</v>
      </c>
      <c r="AH52" s="22">
        <v>785.93</v>
      </c>
      <c r="AI52" s="22">
        <v>785.93</v>
      </c>
      <c r="AJ52" s="52">
        <f t="shared" si="292"/>
        <v>100</v>
      </c>
      <c r="AK52" s="22">
        <v>832.3</v>
      </c>
      <c r="AL52" s="22">
        <f t="shared" si="293"/>
        <v>105.90001654091333</v>
      </c>
      <c r="AM52" s="22">
        <v>872.26</v>
      </c>
      <c r="AN52" s="22">
        <f t="shared" si="294"/>
        <v>104.80115343025351</v>
      </c>
      <c r="AO52" s="22">
        <f t="shared" si="295"/>
        <v>110.98432526574982</v>
      </c>
      <c r="AP52" s="22">
        <f t="shared" si="296"/>
        <v>110.9844388177064</v>
      </c>
      <c r="AQ52" s="22">
        <v>872.26</v>
      </c>
      <c r="AR52" s="22">
        <v>872.26</v>
      </c>
      <c r="AS52" s="22">
        <f t="shared" si="297"/>
        <v>111.69949327035515</v>
      </c>
      <c r="AT52" s="22">
        <v>974.31</v>
      </c>
      <c r="AU52" s="22">
        <f t="shared" si="266"/>
        <v>111.69949327035515</v>
      </c>
      <c r="AV52" s="77"/>
      <c r="AW52" s="77">
        <f t="shared" si="298"/>
        <v>64.104347713661681</v>
      </c>
      <c r="AX52" s="78" t="s">
        <v>195</v>
      </c>
      <c r="AY52" s="22">
        <f t="shared" si="217"/>
        <v>28.873790199999995</v>
      </c>
      <c r="AZ52" s="22">
        <f>+[7]БПр!$BX$1476/1000</f>
        <v>5.733320299999999</v>
      </c>
      <c r="BA52" s="22">
        <f>+[7]БПр!$BW$1476/1000</f>
        <v>0.62802999999999998</v>
      </c>
      <c r="BB52" s="22">
        <f>+([7]БПр!$BO$1478+[7]БПр!$BY$1478)/1000</f>
        <v>22.512439899999997</v>
      </c>
      <c r="BC52" s="22">
        <v>825.69</v>
      </c>
      <c r="BD52" s="22">
        <v>860.36</v>
      </c>
      <c r="BE52" s="22">
        <f t="shared" si="218"/>
        <v>104.1989124247599</v>
      </c>
      <c r="BF52" s="22">
        <v>974.31</v>
      </c>
      <c r="BG52" s="22">
        <v>1015.22</v>
      </c>
      <c r="BH52" s="22">
        <f t="shared" si="219"/>
        <v>104.19886894314952</v>
      </c>
      <c r="BI52" s="22">
        <f>+BD52-BG52/1.18</f>
        <v>4.0677966101156926E-3</v>
      </c>
      <c r="BJ52" s="40" t="s">
        <v>196</v>
      </c>
      <c r="BK52" s="19">
        <f t="shared" si="353"/>
        <v>19231.112696088134</v>
      </c>
      <c r="BL52" s="19">
        <f t="shared" si="299"/>
        <v>3818.6340572881359</v>
      </c>
      <c r="BM52" s="19">
        <f t="shared" si="356"/>
        <v>0</v>
      </c>
      <c r="BN52" s="19">
        <f t="shared" si="300"/>
        <v>15412.478638799997</v>
      </c>
      <c r="BO52" s="19">
        <f t="shared" si="354"/>
        <v>20365.833208105083</v>
      </c>
      <c r="BP52" s="19">
        <f t="shared" si="301"/>
        <v>4043.9340983050843</v>
      </c>
      <c r="BQ52" s="19">
        <f t="shared" si="357"/>
        <v>0</v>
      </c>
      <c r="BR52" s="19">
        <f t="shared" si="302"/>
        <v>16321.899109800001</v>
      </c>
      <c r="BS52" s="19">
        <f t="shared" si="355"/>
        <v>21343.525002983049</v>
      </c>
      <c r="BT52" s="19">
        <f t="shared" si="303"/>
        <v>4238.0895789830511</v>
      </c>
      <c r="BU52" s="19">
        <f t="shared" si="358"/>
        <v>0</v>
      </c>
      <c r="BV52" s="19">
        <f t="shared" si="304"/>
        <v>17105.435423999999</v>
      </c>
      <c r="BW52" s="19">
        <f t="shared" si="172"/>
        <v>21343.525002983049</v>
      </c>
      <c r="BX52" s="19">
        <f t="shared" si="305"/>
        <v>4238.0895789830511</v>
      </c>
      <c r="BY52" s="19">
        <f t="shared" si="306"/>
        <v>0</v>
      </c>
      <c r="BZ52" s="19">
        <f t="shared" si="307"/>
        <v>17105.435423999999</v>
      </c>
      <c r="CA52" s="19">
        <f t="shared" si="308"/>
        <v>23840.779258367798</v>
      </c>
      <c r="CB52" s="19">
        <f t="shared" si="309"/>
        <v>4733.9245840677968</v>
      </c>
      <c r="CC52" s="19">
        <f t="shared" si="310"/>
        <v>0</v>
      </c>
      <c r="CD52" s="19">
        <f t="shared" si="311"/>
        <v>19106.854674300001</v>
      </c>
      <c r="CE52" s="48">
        <f t="shared" si="312"/>
        <v>666.04</v>
      </c>
      <c r="CF52" s="48">
        <f t="shared" si="313"/>
        <v>705.34</v>
      </c>
      <c r="CG52" s="48">
        <f t="shared" si="314"/>
        <v>739.2</v>
      </c>
      <c r="CH52" s="48">
        <f t="shared" si="315"/>
        <v>785.93000000000018</v>
      </c>
      <c r="CI52" s="48">
        <f t="shared" si="316"/>
        <v>832.3</v>
      </c>
      <c r="CJ52" s="48">
        <f t="shared" si="317"/>
        <v>872.2600000000001</v>
      </c>
      <c r="CK52" s="48">
        <f t="shared" si="318"/>
        <v>666.04047117084849</v>
      </c>
      <c r="CL52" s="48">
        <f t="shared" si="319"/>
        <v>705.33979806963634</v>
      </c>
      <c r="CM52" s="48">
        <f t="shared" si="320"/>
        <v>739.20067310121226</v>
      </c>
      <c r="CN52" s="48">
        <f t="shared" si="321"/>
        <v>703.52698078056562</v>
      </c>
      <c r="CO52" s="48">
        <f t="shared" si="322"/>
        <v>739.2</v>
      </c>
      <c r="CP52" s="48">
        <f t="shared" si="323"/>
        <v>825.69000000000017</v>
      </c>
      <c r="CQ52" s="48">
        <f t="shared" si="324"/>
        <v>872.2600000000001</v>
      </c>
      <c r="CR52" s="48">
        <f t="shared" si="325"/>
        <v>974.31000000000006</v>
      </c>
      <c r="CS52" s="48">
        <f t="shared" si="326"/>
        <v>739.20067310121226</v>
      </c>
      <c r="CT52" s="48">
        <f t="shared" si="327"/>
        <v>825.68929324372732</v>
      </c>
      <c r="CU52" s="48">
        <f t="shared" si="328"/>
        <v>782.44498317246973</v>
      </c>
      <c r="CV52" s="48">
        <f t="shared" si="329"/>
        <v>111.21748057257794</v>
      </c>
      <c r="CW52" s="19">
        <f t="shared" si="330"/>
        <v>3977.3498755253559</v>
      </c>
      <c r="CX52" s="19">
        <f t="shared" si="331"/>
        <v>3977.3374295565604</v>
      </c>
      <c r="CY52" s="19">
        <f t="shared" si="332"/>
        <v>4441.5802650698315</v>
      </c>
      <c r="CZ52" s="19">
        <f t="shared" si="333"/>
        <v>4441.5771811267205</v>
      </c>
      <c r="DA52" s="21">
        <f t="shared" si="334"/>
        <v>100.00031292212481</v>
      </c>
      <c r="DB52" s="21">
        <f t="shared" si="335"/>
        <v>100.00006943351394</v>
      </c>
      <c r="DC52" s="79">
        <f t="shared" si="336"/>
        <v>111.67185196356799</v>
      </c>
      <c r="DD52" s="79">
        <f t="shared" si="336"/>
        <v>111.67212387162029</v>
      </c>
      <c r="DE52" s="79">
        <f t="shared" si="337"/>
        <v>12584.130882892801</v>
      </c>
      <c r="DF52" s="79">
        <f t="shared" si="337"/>
        <v>0</v>
      </c>
      <c r="DG52" s="79">
        <f t="shared" si="338"/>
        <v>9784.264182557039</v>
      </c>
      <c r="DH52" s="51">
        <f t="shared" si="339"/>
        <v>22368.39506544984</v>
      </c>
      <c r="DI52" s="39"/>
      <c r="DJ52" s="80">
        <f t="shared" si="340"/>
        <v>10627.105358018158</v>
      </c>
      <c r="DK52" s="39">
        <f t="shared" si="341"/>
        <v>3036.5466006552601</v>
      </c>
      <c r="DL52" s="39">
        <f t="shared" si="342"/>
        <v>6366.7677109343995</v>
      </c>
      <c r="DM52" s="48">
        <f>+AT52-'[2]тарифы (12-13) население 15%'!AP80</f>
        <v>0</v>
      </c>
      <c r="DN52" s="39"/>
      <c r="DO52" s="39"/>
      <c r="DP52" s="39"/>
      <c r="DQ52" s="39"/>
      <c r="DR52" s="39"/>
      <c r="DS52" s="39"/>
      <c r="DT52" s="39"/>
      <c r="DU52" s="19">
        <f t="shared" si="251"/>
        <v>4733.9248317737283</v>
      </c>
      <c r="DV52" s="40">
        <f t="shared" si="267"/>
        <v>4932.6961313271186</v>
      </c>
      <c r="DW52" s="40">
        <f t="shared" si="268"/>
        <v>4932.7194533079992</v>
      </c>
      <c r="DX52" s="21">
        <f>+'[1]тарифы (НВВ) население на 4,2%'!CN84</f>
        <v>100.00031292212481</v>
      </c>
      <c r="DY52" s="21">
        <f t="shared" si="252"/>
        <v>99.999527198311171</v>
      </c>
      <c r="DZ52" s="19">
        <f t="shared" si="253"/>
        <v>23.840799830237998</v>
      </c>
      <c r="EA52" s="19">
        <f t="shared" si="254"/>
        <v>24.841854136471998</v>
      </c>
      <c r="EB52" s="19"/>
      <c r="EC52" s="48"/>
      <c r="ED52" s="48"/>
      <c r="EE52" s="22">
        <v>860.36</v>
      </c>
      <c r="EF52" s="22">
        <v>920.58</v>
      </c>
      <c r="EG52" s="22">
        <f t="shared" si="255"/>
        <v>106.99939560184109</v>
      </c>
      <c r="EH52" s="22">
        <v>1015.22</v>
      </c>
      <c r="EI52" s="22">
        <v>1086.28</v>
      </c>
      <c r="EJ52" s="22">
        <f t="shared" si="256"/>
        <v>106.99946809558519</v>
      </c>
      <c r="EK52" s="40" t="s">
        <v>197</v>
      </c>
      <c r="EL52" s="19">
        <v>28.87</v>
      </c>
      <c r="EM52" s="19">
        <v>5.73</v>
      </c>
      <c r="EN52" s="40">
        <f t="shared" si="271"/>
        <v>5274.9020338983055</v>
      </c>
      <c r="EO52" s="40">
        <f t="shared" si="272"/>
        <v>5274.9234000000006</v>
      </c>
      <c r="EP52" s="40"/>
      <c r="EQ52" s="21">
        <f t="shared" si="257"/>
        <v>99.999594949536231</v>
      </c>
      <c r="ER52" s="21"/>
      <c r="ES52" s="19">
        <f t="shared" si="286"/>
        <v>24838.593200000003</v>
      </c>
      <c r="ET52" s="19"/>
      <c r="EU52" s="19">
        <f t="shared" si="258"/>
        <v>26577.144600000003</v>
      </c>
      <c r="EV52" s="21"/>
      <c r="EW52" s="39"/>
      <c r="EX52" s="39">
        <f t="shared" si="259"/>
        <v>24841.854136471997</v>
      </c>
      <c r="EY52" s="39">
        <f t="shared" si="149"/>
        <v>26580.633782315996</v>
      </c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19"/>
      <c r="FK52" s="19"/>
      <c r="FL52" s="19">
        <f t="shared" si="276"/>
        <v>0</v>
      </c>
      <c r="FM52" s="19">
        <v>28.875</v>
      </c>
      <c r="FN52" s="19">
        <v>5.73</v>
      </c>
      <c r="FO52" s="22">
        <v>1092.67</v>
      </c>
      <c r="FP52" s="22">
        <v>1099.24</v>
      </c>
      <c r="FQ52" s="22">
        <f t="shared" si="125"/>
        <v>100.60127943477902</v>
      </c>
      <c r="FR52" s="22">
        <v>1311.2</v>
      </c>
      <c r="FS52" s="22">
        <v>1319.09</v>
      </c>
      <c r="FT52" s="22">
        <f t="shared" si="343"/>
        <v>100.60173886516168</v>
      </c>
      <c r="FU52" s="40" t="s">
        <v>651</v>
      </c>
      <c r="FV52" s="19"/>
      <c r="FW52" s="19"/>
      <c r="FX52" s="19"/>
      <c r="FY52" s="19"/>
      <c r="FZ52" s="19"/>
      <c r="GA52" s="19"/>
      <c r="GB52" s="19"/>
      <c r="GC52" s="20"/>
      <c r="GD52" s="20"/>
      <c r="GE52" s="21"/>
      <c r="GF52" s="21"/>
      <c r="GG52" s="19"/>
      <c r="GH52" s="19"/>
      <c r="GI52" s="19"/>
      <c r="GJ52" s="21"/>
      <c r="GK52" s="19"/>
      <c r="GL52" s="19"/>
      <c r="GM52" s="19"/>
      <c r="GN52" s="19"/>
      <c r="GO52" s="22">
        <v>1099.24</v>
      </c>
      <c r="GP52" s="22">
        <v>1127.01</v>
      </c>
      <c r="GQ52" s="22"/>
      <c r="GR52" s="22">
        <v>1319.09</v>
      </c>
      <c r="GS52" s="22">
        <v>1352.41</v>
      </c>
      <c r="GT52" s="22"/>
      <c r="GU52" s="40" t="s">
        <v>651</v>
      </c>
      <c r="GV52" s="19"/>
      <c r="GW52" s="19"/>
      <c r="GX52" s="19"/>
      <c r="GY52" s="19"/>
      <c r="GZ52" s="23"/>
      <c r="HA52" s="22">
        <v>1127.01</v>
      </c>
      <c r="HB52" s="22">
        <v>1156.04</v>
      </c>
      <c r="HC52" s="22"/>
      <c r="HD52" s="22">
        <v>1352.41</v>
      </c>
      <c r="HE52" s="22">
        <v>1387.25</v>
      </c>
      <c r="HF52" s="22"/>
      <c r="HG52" s="236" t="s">
        <v>651</v>
      </c>
    </row>
    <row r="53" spans="2:215" ht="15.75">
      <c r="B53" s="10"/>
      <c r="C53" s="184" t="s">
        <v>150</v>
      </c>
      <c r="D53" s="143">
        <f t="shared" si="287"/>
        <v>59729.4</v>
      </c>
      <c r="E53" s="73">
        <f>+'[2]2012(объемы годовые)'!M73</f>
        <v>27996.400000000001</v>
      </c>
      <c r="F53" s="75">
        <f>+E53*$F$3</f>
        <v>15470.81064</v>
      </c>
      <c r="G53" s="75">
        <f>+E53*$G$3</f>
        <v>4174.2632400000002</v>
      </c>
      <c r="H53" s="75">
        <f>+E53*$H$3</f>
        <v>8351.3261200000015</v>
      </c>
      <c r="I53" s="73">
        <f>+'[2]2012(объемы годовые)'!Q73+'[2]2012(объемы годовые)'!U73+'[2]2012(объемы годовые)'!Y73</f>
        <v>31733</v>
      </c>
      <c r="J53" s="75">
        <f>+I53*$J$3</f>
        <v>17535.6558</v>
      </c>
      <c r="K53" s="75">
        <f>+I53*$K$3</f>
        <v>4731.3903</v>
      </c>
      <c r="L53" s="75">
        <f>+I53*$L$3</f>
        <v>9465.9539000000004</v>
      </c>
      <c r="M53" s="73">
        <f t="shared" ref="M53:M55" si="361">+N53+R53</f>
        <v>59729.4</v>
      </c>
      <c r="N53" s="46">
        <f t="shared" si="360"/>
        <v>27996.400000000001</v>
      </c>
      <c r="O53" s="74">
        <v>16506.677439999999</v>
      </c>
      <c r="P53" s="74"/>
      <c r="Q53" s="74">
        <v>11489.72256</v>
      </c>
      <c r="R53" s="46">
        <f>+I53</f>
        <v>31733</v>
      </c>
      <c r="S53" s="74">
        <v>18709.7768</v>
      </c>
      <c r="T53" s="74"/>
      <c r="U53" s="74">
        <v>13023.2232</v>
      </c>
      <c r="V53" s="52">
        <v>37.770000000000003</v>
      </c>
      <c r="W53" s="52">
        <v>37.770000000000003</v>
      </c>
      <c r="X53" s="52">
        <f t="shared" si="288"/>
        <v>100</v>
      </c>
      <c r="Y53" s="22">
        <v>40</v>
      </c>
      <c r="Z53" s="22">
        <f t="shared" si="289"/>
        <v>105.90415673815197</v>
      </c>
      <c r="AA53" s="22">
        <v>41.54</v>
      </c>
      <c r="AB53" s="22">
        <f t="shared" si="290"/>
        <v>103.85</v>
      </c>
      <c r="AC53" s="22">
        <v>41.54</v>
      </c>
      <c r="AD53" s="22">
        <v>41.54</v>
      </c>
      <c r="AE53" s="22">
        <f t="shared" si="291"/>
        <v>111.41068849301878</v>
      </c>
      <c r="AF53" s="22">
        <v>46.28</v>
      </c>
      <c r="AG53" s="22">
        <f t="shared" si="265"/>
        <v>111.41068849301878</v>
      </c>
      <c r="AH53" s="22">
        <v>44.57</v>
      </c>
      <c r="AI53" s="22">
        <v>44.57</v>
      </c>
      <c r="AJ53" s="52">
        <f t="shared" si="292"/>
        <v>100</v>
      </c>
      <c r="AK53" s="22">
        <v>47.2</v>
      </c>
      <c r="AL53" s="22">
        <f t="shared" si="293"/>
        <v>105.90083015481267</v>
      </c>
      <c r="AM53" s="22">
        <v>49.02</v>
      </c>
      <c r="AN53" s="22">
        <f t="shared" si="294"/>
        <v>103.85593220338983</v>
      </c>
      <c r="AO53" s="22">
        <f t="shared" si="295"/>
        <v>109.98146677257081</v>
      </c>
      <c r="AP53" s="22">
        <f t="shared" si="296"/>
        <v>109.98429436840924</v>
      </c>
      <c r="AQ53" s="22">
        <v>49.02</v>
      </c>
      <c r="AR53" s="22">
        <v>49.02</v>
      </c>
      <c r="AS53" s="22">
        <f t="shared" si="297"/>
        <v>111.40350877192982</v>
      </c>
      <c r="AT53" s="22">
        <v>54.61</v>
      </c>
      <c r="AU53" s="22">
        <f t="shared" si="266"/>
        <v>111.40350877192982</v>
      </c>
      <c r="AV53" s="77"/>
      <c r="AW53" s="77">
        <f t="shared" si="298"/>
        <v>17.571432726594274</v>
      </c>
      <c r="AX53" s="78" t="s">
        <v>198</v>
      </c>
      <c r="AY53" s="22">
        <f t="shared" si="217"/>
        <v>0</v>
      </c>
      <c r="AZ53" s="22"/>
      <c r="BA53" s="22"/>
      <c r="BB53" s="22"/>
      <c r="BC53" s="22"/>
      <c r="BD53" s="22"/>
      <c r="BE53" s="22">
        <f t="shared" si="218"/>
        <v>0</v>
      </c>
      <c r="BF53" s="52">
        <v>54.61</v>
      </c>
      <c r="BG53" s="22">
        <v>56.9</v>
      </c>
      <c r="BH53" s="22">
        <f t="shared" si="219"/>
        <v>104.19337117744003</v>
      </c>
      <c r="BI53" s="22"/>
      <c r="BJ53" s="40" t="s">
        <v>199</v>
      </c>
      <c r="BK53" s="19">
        <f t="shared" si="353"/>
        <v>2256.0126540677966</v>
      </c>
      <c r="BL53" s="19">
        <f t="shared" si="299"/>
        <v>1057.4572440677966</v>
      </c>
      <c r="BM53" s="19">
        <f t="shared" si="356"/>
        <v>0</v>
      </c>
      <c r="BN53" s="19">
        <f t="shared" si="300"/>
        <v>1198.5554100000002</v>
      </c>
      <c r="BO53" s="19">
        <f t="shared" si="354"/>
        <v>2389.1760000000004</v>
      </c>
      <c r="BP53" s="19">
        <f t="shared" si="301"/>
        <v>1119.8560000000002</v>
      </c>
      <c r="BQ53" s="19">
        <f t="shared" si="357"/>
        <v>0</v>
      </c>
      <c r="BR53" s="19">
        <f t="shared" si="302"/>
        <v>1269.32</v>
      </c>
      <c r="BS53" s="19">
        <f t="shared" si="355"/>
        <v>2481.2257081355938</v>
      </c>
      <c r="BT53" s="19">
        <f t="shared" si="303"/>
        <v>1163.0368881355935</v>
      </c>
      <c r="BU53" s="19">
        <f t="shared" si="358"/>
        <v>0</v>
      </c>
      <c r="BV53" s="19">
        <f t="shared" si="304"/>
        <v>1318.1888200000001</v>
      </c>
      <c r="BW53" s="19">
        <f t="shared" si="172"/>
        <v>2481.2257081355938</v>
      </c>
      <c r="BX53" s="19">
        <f t="shared" si="305"/>
        <v>1163.0368881355935</v>
      </c>
      <c r="BY53" s="19">
        <f t="shared" si="306"/>
        <v>0</v>
      </c>
      <c r="BZ53" s="19">
        <f t="shared" si="307"/>
        <v>1318.1888200000001</v>
      </c>
      <c r="CA53" s="19">
        <f t="shared" si="308"/>
        <v>2764.2671416949152</v>
      </c>
      <c r="CB53" s="19">
        <f t="shared" si="309"/>
        <v>1295.6639016949155</v>
      </c>
      <c r="CC53" s="19">
        <f t="shared" si="310"/>
        <v>0</v>
      </c>
      <c r="CD53" s="19">
        <f t="shared" si="311"/>
        <v>1468.6032399999999</v>
      </c>
      <c r="CE53" s="48">
        <f t="shared" si="312"/>
        <v>37.770000000000003</v>
      </c>
      <c r="CF53" s="48">
        <f t="shared" si="313"/>
        <v>40</v>
      </c>
      <c r="CG53" s="48">
        <f t="shared" si="314"/>
        <v>41.54</v>
      </c>
      <c r="CH53" s="48">
        <f t="shared" si="315"/>
        <v>44.57</v>
      </c>
      <c r="CI53" s="48">
        <f t="shared" si="316"/>
        <v>47.2</v>
      </c>
      <c r="CJ53" s="48">
        <f t="shared" si="317"/>
        <v>49.02000000000001</v>
      </c>
      <c r="CK53" s="48">
        <f t="shared" si="318"/>
        <v>37.770556109182351</v>
      </c>
      <c r="CL53" s="48">
        <f t="shared" si="319"/>
        <v>40.000000000000007</v>
      </c>
      <c r="CM53" s="48">
        <f t="shared" si="320"/>
        <v>41.541112218364724</v>
      </c>
      <c r="CN53" s="48">
        <f t="shared" si="321"/>
        <v>39.770556109182358</v>
      </c>
      <c r="CO53" s="48">
        <f t="shared" si="322"/>
        <v>41.54</v>
      </c>
      <c r="CP53" s="48">
        <f t="shared" si="323"/>
        <v>46.279999999999994</v>
      </c>
      <c r="CQ53" s="48">
        <f t="shared" si="324"/>
        <v>49.02000000000001</v>
      </c>
      <c r="CR53" s="48">
        <f t="shared" si="325"/>
        <v>54.610000000000007</v>
      </c>
      <c r="CS53" s="48">
        <f t="shared" si="326"/>
        <v>41.541112218364724</v>
      </c>
      <c r="CT53" s="48">
        <f t="shared" si="327"/>
        <v>46.279841111662179</v>
      </c>
      <c r="CU53" s="48">
        <f t="shared" si="328"/>
        <v>43.910476665013448</v>
      </c>
      <c r="CV53" s="48">
        <f t="shared" si="329"/>
        <v>110.40951135927226</v>
      </c>
      <c r="CW53" s="19">
        <f t="shared" si="330"/>
        <v>1098.2553064027122</v>
      </c>
      <c r="CX53" s="19">
        <f t="shared" si="331"/>
        <v>1098.2171344976002</v>
      </c>
      <c r="CY53" s="19">
        <f t="shared" si="332"/>
        <v>1217.467014500339</v>
      </c>
      <c r="CZ53" s="19">
        <f t="shared" si="333"/>
        <v>1217.4317409343998</v>
      </c>
      <c r="DA53" s="21">
        <f t="shared" si="334"/>
        <v>100.00347580673375</v>
      </c>
      <c r="DB53" s="21">
        <f t="shared" si="335"/>
        <v>100.00289737524932</v>
      </c>
      <c r="DC53" s="79">
        <f t="shared" si="336"/>
        <v>110.85464439849598</v>
      </c>
      <c r="DD53" s="79">
        <f t="shared" si="336"/>
        <v>110.85528559808317</v>
      </c>
      <c r="DE53" s="79">
        <f t="shared" si="337"/>
        <v>1462.8915091295999</v>
      </c>
      <c r="DF53" s="79">
        <f t="shared" si="337"/>
        <v>0</v>
      </c>
      <c r="DG53" s="79">
        <f t="shared" si="338"/>
        <v>1134.4591297728</v>
      </c>
      <c r="DH53" s="51">
        <f t="shared" si="339"/>
        <v>2597.3506389023996</v>
      </c>
      <c r="DI53" s="39"/>
      <c r="DJ53" s="80">
        <f t="shared" si="340"/>
        <v>1246.6542374388002</v>
      </c>
      <c r="DK53" s="39">
        <f t="shared" si="341"/>
        <v>356.22614159999995</v>
      </c>
      <c r="DL53" s="39">
        <f t="shared" si="342"/>
        <v>740.12981203080005</v>
      </c>
      <c r="DM53" s="48">
        <f>+AT53-'[2]тарифы (12-13) население 15%'!AP81</f>
        <v>0</v>
      </c>
      <c r="DN53" s="39"/>
      <c r="DO53" s="39"/>
      <c r="DP53" s="39"/>
      <c r="DQ53" s="39"/>
      <c r="DR53" s="39"/>
      <c r="DS53" s="39"/>
      <c r="DT53" s="39"/>
      <c r="DU53" s="19">
        <f t="shared" si="251"/>
        <v>0</v>
      </c>
      <c r="DV53" s="40">
        <f>+'[1]тарифы (НВВ) население на 4,2%'!CL85*1.042</f>
        <v>1268.6006291093533</v>
      </c>
      <c r="DW53" s="40">
        <f>+'[1]тарифы (НВВ) население на 4,2%'!CM85*1.042</f>
        <v>1268.5638740536447</v>
      </c>
      <c r="DX53" s="21">
        <f>+'[1]тарифы (НВВ) население на 4,2%'!CN85</f>
        <v>100.00347580673375</v>
      </c>
      <c r="DY53" s="21">
        <f t="shared" si="252"/>
        <v>100.00289737524932</v>
      </c>
      <c r="DZ53" s="19">
        <f t="shared" si="253"/>
        <v>0</v>
      </c>
      <c r="EA53" s="19">
        <f t="shared" si="254"/>
        <v>0</v>
      </c>
      <c r="EB53" s="19"/>
      <c r="EC53" s="48">
        <f t="shared" si="269"/>
        <v>0</v>
      </c>
      <c r="ED53" s="48">
        <f t="shared" si="270"/>
        <v>0</v>
      </c>
      <c r="EE53" s="22">
        <v>48.22</v>
      </c>
      <c r="EF53" s="22">
        <v>51.11</v>
      </c>
      <c r="EG53" s="22">
        <f t="shared" si="255"/>
        <v>105.99336374948155</v>
      </c>
      <c r="EH53" s="22">
        <v>56.9</v>
      </c>
      <c r="EI53" s="22">
        <v>60.31</v>
      </c>
      <c r="EJ53" s="22">
        <f t="shared" si="256"/>
        <v>105.99297012302284</v>
      </c>
      <c r="EK53" s="40" t="s">
        <v>200</v>
      </c>
      <c r="EL53" s="19">
        <v>165.8</v>
      </c>
      <c r="EM53" s="19">
        <v>23.7</v>
      </c>
      <c r="EN53" s="40">
        <f t="shared" si="271"/>
        <v>1211.3110169491526</v>
      </c>
      <c r="EO53" s="40">
        <f t="shared" si="272"/>
        <v>1211.307</v>
      </c>
      <c r="EP53" s="40"/>
      <c r="EQ53" s="21">
        <f t="shared" si="257"/>
        <v>100.00033162106325</v>
      </c>
      <c r="ER53" s="21"/>
      <c r="ES53" s="19">
        <f t="shared" si="286"/>
        <v>7994.8760000000002</v>
      </c>
      <c r="ET53" s="19"/>
      <c r="EU53" s="19">
        <f t="shared" si="258"/>
        <v>8474.0380000000005</v>
      </c>
      <c r="EV53" s="21"/>
      <c r="EW53" s="39"/>
      <c r="EX53" s="39">
        <f t="shared" si="259"/>
        <v>0</v>
      </c>
      <c r="EY53" s="39">
        <f t="shared" si="149"/>
        <v>0</v>
      </c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19"/>
      <c r="FK53" s="19"/>
      <c r="FL53" s="19">
        <f t="shared" si="276"/>
        <v>0</v>
      </c>
      <c r="FM53" s="19">
        <v>165.8</v>
      </c>
      <c r="FN53" s="19">
        <v>23.7</v>
      </c>
      <c r="FO53" s="22">
        <v>61.43</v>
      </c>
      <c r="FP53" s="22">
        <v>62.85</v>
      </c>
      <c r="FQ53" s="22"/>
      <c r="FR53" s="22">
        <v>73.72</v>
      </c>
      <c r="FS53" s="22">
        <v>75.42</v>
      </c>
      <c r="FT53" s="22">
        <f t="shared" si="343"/>
        <v>102.30602278893109</v>
      </c>
      <c r="FU53" s="40" t="s">
        <v>652</v>
      </c>
      <c r="FV53" s="19"/>
      <c r="FW53" s="19"/>
      <c r="FX53" s="19"/>
      <c r="FY53" s="19"/>
      <c r="FZ53" s="19"/>
      <c r="GA53" s="19"/>
      <c r="GB53" s="19"/>
      <c r="GC53" s="20"/>
      <c r="GD53" s="20"/>
      <c r="GE53" s="21"/>
      <c r="GF53" s="21"/>
      <c r="GG53" s="19"/>
      <c r="GH53" s="19"/>
      <c r="GI53" s="19"/>
      <c r="GJ53" s="21"/>
      <c r="GK53" s="19"/>
      <c r="GL53" s="19"/>
      <c r="GM53" s="19"/>
      <c r="GN53" s="19"/>
      <c r="GO53" s="22">
        <v>62.85</v>
      </c>
      <c r="GP53" s="22">
        <v>63.93</v>
      </c>
      <c r="GQ53" s="22"/>
      <c r="GR53" s="22">
        <v>75.42</v>
      </c>
      <c r="GS53" s="22">
        <v>76.72</v>
      </c>
      <c r="GT53" s="22"/>
      <c r="GU53" s="40" t="s">
        <v>652</v>
      </c>
      <c r="GV53" s="19"/>
      <c r="GW53" s="19"/>
      <c r="GX53" s="19"/>
      <c r="GY53" s="19"/>
      <c r="GZ53" s="23"/>
      <c r="HA53" s="22">
        <v>63.93</v>
      </c>
      <c r="HB53" s="22">
        <v>65.569999999999993</v>
      </c>
      <c r="HC53" s="22"/>
      <c r="HD53" s="22">
        <v>76.72</v>
      </c>
      <c r="HE53" s="22">
        <v>78.680000000000007</v>
      </c>
      <c r="HF53" s="22"/>
      <c r="HG53" s="236" t="s">
        <v>652</v>
      </c>
    </row>
    <row r="54" spans="2:215" ht="15.75">
      <c r="B54" s="10"/>
      <c r="C54" s="184" t="s">
        <v>131</v>
      </c>
      <c r="D54" s="143">
        <f t="shared" si="287"/>
        <v>195600</v>
      </c>
      <c r="E54" s="73">
        <f>+'[2]2012(объемы годовые)'!M72</f>
        <v>39600</v>
      </c>
      <c r="F54" s="75" t="e">
        <f>+E54*#REF!</f>
        <v>#REF!</v>
      </c>
      <c r="G54" s="75" t="e">
        <f>+E54*#REF!</f>
        <v>#REF!</v>
      </c>
      <c r="H54" s="75" t="e">
        <f>+E54*#REF!</f>
        <v>#REF!</v>
      </c>
      <c r="I54" s="188">
        <f>+'[2]2012(объемы годовые)'!Q72+'[2]2012(объемы годовые)'!U72+'[2]2012(объемы годовые)'!Y72</f>
        <v>156000</v>
      </c>
      <c r="J54" s="75" t="e">
        <f>+I54*#REF!</f>
        <v>#REF!</v>
      </c>
      <c r="K54" s="75" t="e">
        <f>+I54*#REF!</f>
        <v>#REF!</v>
      </c>
      <c r="L54" s="75" t="e">
        <f>+I54*#REF!</f>
        <v>#REF!</v>
      </c>
      <c r="M54" s="73">
        <f t="shared" si="361"/>
        <v>195600</v>
      </c>
      <c r="N54" s="46">
        <f t="shared" si="360"/>
        <v>39600</v>
      </c>
      <c r="O54" s="74">
        <v>19800</v>
      </c>
      <c r="P54" s="74"/>
      <c r="Q54" s="74">
        <v>19800</v>
      </c>
      <c r="R54" s="46">
        <f>+I54</f>
        <v>156000</v>
      </c>
      <c r="S54" s="74">
        <v>78000</v>
      </c>
      <c r="T54" s="74"/>
      <c r="U54" s="74">
        <v>78000</v>
      </c>
      <c r="V54" s="130">
        <v>6.76</v>
      </c>
      <c r="W54" s="130">
        <v>6.76</v>
      </c>
      <c r="X54" s="52">
        <f t="shared" si="288"/>
        <v>100</v>
      </c>
      <c r="Y54" s="130">
        <v>6.98</v>
      </c>
      <c r="Z54" s="22">
        <f t="shared" si="289"/>
        <v>103.2544378698225</v>
      </c>
      <c r="AA54" s="130">
        <v>6.98</v>
      </c>
      <c r="AB54" s="22">
        <f t="shared" si="290"/>
        <v>100</v>
      </c>
      <c r="AC54" s="130">
        <v>6.98</v>
      </c>
      <c r="AD54" s="130">
        <v>6.98</v>
      </c>
      <c r="AE54" s="22">
        <f t="shared" si="291"/>
        <v>110.45845272206303</v>
      </c>
      <c r="AF54" s="22">
        <v>7.71</v>
      </c>
      <c r="AG54" s="22">
        <f t="shared" si="265"/>
        <v>110.45845272206303</v>
      </c>
      <c r="AH54" s="130">
        <v>7.98</v>
      </c>
      <c r="AI54" s="130">
        <v>7.98</v>
      </c>
      <c r="AJ54" s="52">
        <f t="shared" si="292"/>
        <v>100</v>
      </c>
      <c r="AK54" s="130">
        <v>8.23</v>
      </c>
      <c r="AL54" s="22">
        <f t="shared" si="293"/>
        <v>103.1328320802005</v>
      </c>
      <c r="AM54" s="130">
        <v>8.23</v>
      </c>
      <c r="AN54" s="22">
        <f t="shared" si="294"/>
        <v>100</v>
      </c>
      <c r="AO54" s="22">
        <f t="shared" si="295"/>
        <v>103.2544378698225</v>
      </c>
      <c r="AP54" s="22">
        <f t="shared" si="296"/>
        <v>103.1328320802005</v>
      </c>
      <c r="AQ54" s="22">
        <v>8.23</v>
      </c>
      <c r="AR54" s="22">
        <v>8.23</v>
      </c>
      <c r="AS54" s="22">
        <f t="shared" si="297"/>
        <v>110.54434993924664</v>
      </c>
      <c r="AT54" s="22">
        <v>9.0977999999999994</v>
      </c>
      <c r="AU54" s="22">
        <f t="shared" si="266"/>
        <v>110.54434993924664</v>
      </c>
      <c r="AV54" s="77"/>
      <c r="AW54" s="77">
        <f t="shared" si="298"/>
        <v>4.1963971193397303</v>
      </c>
      <c r="AX54" s="239" t="s">
        <v>201</v>
      </c>
      <c r="AY54" s="22">
        <f t="shared" si="217"/>
        <v>195.60000393476565</v>
      </c>
      <c r="AZ54" s="22">
        <f>+[3]БПр!$AC$1450/1000</f>
        <v>39.599999999999994</v>
      </c>
      <c r="BA54" s="22">
        <f>+[3]БПр!$AB$1450/1000</f>
        <v>0.7000039347656708</v>
      </c>
      <c r="BB54" s="22">
        <f>+[3]БПр!$AD$1450/1000+[3]БПр!$R$1450/1000</f>
        <v>155.29999999999998</v>
      </c>
      <c r="BC54" s="22">
        <v>7.71</v>
      </c>
      <c r="BD54" s="22">
        <v>8.0299999999999994</v>
      </c>
      <c r="BE54" s="22">
        <f t="shared" si="218"/>
        <v>104.15045395590141</v>
      </c>
      <c r="BF54" s="22">
        <v>9.1</v>
      </c>
      <c r="BG54" s="22">
        <v>9.48</v>
      </c>
      <c r="BH54" s="22">
        <f t="shared" si="219"/>
        <v>104.17582417582419</v>
      </c>
      <c r="BI54" s="22"/>
      <c r="BJ54" s="240" t="s">
        <v>202</v>
      </c>
      <c r="BK54" s="19">
        <f t="shared" si="353"/>
        <v>1322.3633898305084</v>
      </c>
      <c r="BL54" s="19">
        <f t="shared" si="299"/>
        <v>267.80338983050848</v>
      </c>
      <c r="BM54" s="19">
        <f t="shared" si="356"/>
        <v>0</v>
      </c>
      <c r="BN54" s="19">
        <f t="shared" si="300"/>
        <v>1054.56</v>
      </c>
      <c r="BO54" s="19">
        <f t="shared" si="354"/>
        <v>1365.4692203389832</v>
      </c>
      <c r="BP54" s="19">
        <f t="shared" si="301"/>
        <v>276.19322033898305</v>
      </c>
      <c r="BQ54" s="19">
        <f t="shared" si="357"/>
        <v>0.39600000000002672</v>
      </c>
      <c r="BR54" s="19">
        <f t="shared" si="302"/>
        <v>1088.8800000000001</v>
      </c>
      <c r="BS54" s="19">
        <f t="shared" si="355"/>
        <v>1365.4692203389832</v>
      </c>
      <c r="BT54" s="19">
        <f t="shared" si="303"/>
        <v>276.19322033898305</v>
      </c>
      <c r="BU54" s="19">
        <f t="shared" si="358"/>
        <v>0.39600000000002672</v>
      </c>
      <c r="BV54" s="19">
        <f t="shared" si="304"/>
        <v>1088.8800000000001</v>
      </c>
      <c r="BW54" s="19">
        <f t="shared" si="172"/>
        <v>1365.4692203389832</v>
      </c>
      <c r="BX54" s="19">
        <f t="shared" si="305"/>
        <v>276.19322033898305</v>
      </c>
      <c r="BY54" s="19">
        <f t="shared" si="306"/>
        <v>0.39600000000002672</v>
      </c>
      <c r="BZ54" s="19">
        <f t="shared" si="307"/>
        <v>1088.8800000000001</v>
      </c>
      <c r="CA54" s="19">
        <f t="shared" si="308"/>
        <v>1508.076</v>
      </c>
      <c r="CB54" s="19">
        <f t="shared" si="309"/>
        <v>305.31599999999997</v>
      </c>
      <c r="CC54" s="19">
        <f t="shared" si="310"/>
        <v>0</v>
      </c>
      <c r="CD54" s="19">
        <f t="shared" si="311"/>
        <v>1202.76</v>
      </c>
      <c r="CE54" s="48">
        <f t="shared" si="312"/>
        <v>6.76</v>
      </c>
      <c r="CF54" s="48">
        <f t="shared" si="313"/>
        <v>6.9800000000000013</v>
      </c>
      <c r="CG54" s="48">
        <f t="shared" si="314"/>
        <v>6.9800000000000013</v>
      </c>
      <c r="CH54" s="48">
        <f t="shared" si="315"/>
        <v>7.98</v>
      </c>
      <c r="CI54" s="48">
        <f t="shared" si="316"/>
        <v>8.2299999999999986</v>
      </c>
      <c r="CJ54" s="48">
        <f t="shared" si="317"/>
        <v>8.2299999999999986</v>
      </c>
      <c r="CK54" s="48">
        <f t="shared" si="318"/>
        <v>6.7605490277633349</v>
      </c>
      <c r="CL54" s="48">
        <f t="shared" si="319"/>
        <v>6.98092648435063</v>
      </c>
      <c r="CM54" s="48">
        <f t="shared" si="320"/>
        <v>6.98092648435063</v>
      </c>
      <c r="CN54" s="48">
        <f t="shared" si="321"/>
        <v>6.907467332154865</v>
      </c>
      <c r="CO54" s="48">
        <f t="shared" si="322"/>
        <v>6.9800000000000013</v>
      </c>
      <c r="CP54" s="48">
        <f t="shared" si="323"/>
        <v>7.71</v>
      </c>
      <c r="CQ54" s="48">
        <f t="shared" si="324"/>
        <v>8.2299999999999986</v>
      </c>
      <c r="CR54" s="48">
        <f t="shared" si="325"/>
        <v>9.0977999999999977</v>
      </c>
      <c r="CS54" s="48">
        <f t="shared" si="326"/>
        <v>6.98092648435063</v>
      </c>
      <c r="CT54" s="48">
        <f t="shared" si="327"/>
        <v>7.71</v>
      </c>
      <c r="CU54" s="48">
        <f t="shared" si="328"/>
        <v>7.3454632421753141</v>
      </c>
      <c r="CV54" s="48">
        <f t="shared" si="329"/>
        <v>106.34090454516578</v>
      </c>
      <c r="CW54" s="19" t="e">
        <f t="shared" si="330"/>
        <v>#REF!</v>
      </c>
      <c r="CX54" s="19" t="e">
        <f t="shared" si="331"/>
        <v>#REF!</v>
      </c>
      <c r="CY54" s="19">
        <f t="shared" si="332"/>
        <v>290.75461016949151</v>
      </c>
      <c r="CZ54" s="19">
        <f t="shared" si="333"/>
        <v>290.86200000000002</v>
      </c>
      <c r="DA54" s="21" t="e">
        <f t="shared" si="334"/>
        <v>#REF!</v>
      </c>
      <c r="DB54" s="21">
        <f t="shared" si="335"/>
        <v>99.963078769138463</v>
      </c>
      <c r="DC54" s="79" t="e">
        <f t="shared" si="336"/>
        <v>#REF!</v>
      </c>
      <c r="DD54" s="79" t="e">
        <f t="shared" si="336"/>
        <v>#REF!</v>
      </c>
      <c r="DE54" s="79">
        <f t="shared" si="337"/>
        <v>682.64400000000001</v>
      </c>
      <c r="DF54" s="79">
        <f t="shared" si="337"/>
        <v>0</v>
      </c>
      <c r="DG54" s="79">
        <f t="shared" si="338"/>
        <v>754.03800000000001</v>
      </c>
      <c r="DH54" s="51">
        <f t="shared" si="339"/>
        <v>1436.682</v>
      </c>
      <c r="DI54" s="39"/>
      <c r="DJ54" s="80" t="e">
        <f t="shared" si="340"/>
        <v>#REF!</v>
      </c>
      <c r="DK54" s="39" t="e">
        <f t="shared" si="341"/>
        <v>#REF!</v>
      </c>
      <c r="DL54" s="39" t="e">
        <f t="shared" si="342"/>
        <v>#REF!</v>
      </c>
      <c r="DM54" s="48">
        <f>+AT54-'[2]тарифы (12-13) население 15%'!AP82</f>
        <v>-2.2000000000002018E-3</v>
      </c>
      <c r="DN54" s="39"/>
      <c r="DO54" s="39"/>
      <c r="DP54" s="39"/>
      <c r="DQ54" s="39"/>
      <c r="DR54" s="39"/>
      <c r="DS54" s="39"/>
      <c r="DT54" s="39"/>
      <c r="DU54" s="19">
        <f t="shared" si="251"/>
        <v>305.38983050847457</v>
      </c>
      <c r="DV54" s="40">
        <f t="shared" si="267"/>
        <v>318.14237288135593</v>
      </c>
      <c r="DW54" s="40">
        <f t="shared" si="268"/>
        <v>317.98799999999994</v>
      </c>
      <c r="DX54" s="21">
        <f>+'[1]тарифы (НВВ) население на 4,2%'!CN86</f>
        <v>99.980769562263731</v>
      </c>
      <c r="DY54" s="21">
        <f t="shared" si="252"/>
        <v>100.04854676319735</v>
      </c>
      <c r="DZ54" s="19">
        <f t="shared" si="253"/>
        <v>1.5080760303370433</v>
      </c>
      <c r="EA54" s="19">
        <f t="shared" si="254"/>
        <v>1.5706680315961681</v>
      </c>
      <c r="EB54" s="19"/>
      <c r="EC54" s="48"/>
      <c r="ED54" s="48"/>
      <c r="EE54" s="22">
        <v>8.0299999999999994</v>
      </c>
      <c r="EF54" s="22">
        <v>8.51</v>
      </c>
      <c r="EG54" s="22">
        <f t="shared" si="255"/>
        <v>105.97758405977584</v>
      </c>
      <c r="EH54" s="22">
        <v>9.48</v>
      </c>
      <c r="EI54" s="22">
        <v>10.039999999999999</v>
      </c>
      <c r="EJ54" s="22">
        <f t="shared" si="256"/>
        <v>105.90717299578058</v>
      </c>
      <c r="EK54" s="240" t="s">
        <v>203</v>
      </c>
      <c r="EL54" s="19">
        <v>195.5</v>
      </c>
      <c r="EM54" s="19">
        <v>37.159999999999997</v>
      </c>
      <c r="EN54" s="40">
        <f t="shared" si="271"/>
        <v>316.17491525423725</v>
      </c>
      <c r="EO54" s="40">
        <f t="shared" si="272"/>
        <v>316.23159999999996</v>
      </c>
      <c r="EP54" s="40"/>
      <c r="EQ54" s="21">
        <f t="shared" si="257"/>
        <v>99.98207492680595</v>
      </c>
      <c r="ER54" s="21"/>
      <c r="ES54" s="19">
        <f t="shared" si="286"/>
        <v>1569.8649999999998</v>
      </c>
      <c r="ET54" s="19"/>
      <c r="EU54" s="19">
        <f t="shared" si="258"/>
        <v>1663.7049999999999</v>
      </c>
      <c r="EV54" s="21"/>
      <c r="EW54" s="39"/>
      <c r="EX54" s="39">
        <f t="shared" si="259"/>
        <v>1570.668031596168</v>
      </c>
      <c r="EY54" s="39">
        <f t="shared" si="149"/>
        <v>1664.5560334848556</v>
      </c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19"/>
      <c r="FK54" s="19"/>
      <c r="FL54" s="19">
        <f t="shared" si="276"/>
        <v>0</v>
      </c>
      <c r="FM54" s="19">
        <v>195.6</v>
      </c>
      <c r="FN54" s="19">
        <v>37.159999999999997</v>
      </c>
      <c r="FO54" s="22">
        <v>10.92</v>
      </c>
      <c r="FP54" s="22">
        <v>11</v>
      </c>
      <c r="FQ54" s="22"/>
      <c r="FR54" s="22">
        <v>13.1</v>
      </c>
      <c r="FS54" s="22">
        <v>13.2</v>
      </c>
      <c r="FT54" s="22">
        <f t="shared" si="343"/>
        <v>100.76335877862594</v>
      </c>
      <c r="FU54" s="240" t="s">
        <v>653</v>
      </c>
      <c r="FV54" s="19"/>
      <c r="FW54" s="19"/>
      <c r="FX54" s="19"/>
      <c r="FY54" s="19"/>
      <c r="FZ54" s="19"/>
      <c r="GA54" s="19"/>
      <c r="GB54" s="19"/>
      <c r="GC54" s="20"/>
      <c r="GD54" s="20"/>
      <c r="GE54" s="21"/>
      <c r="GF54" s="21"/>
      <c r="GG54" s="19"/>
      <c r="GH54" s="19"/>
      <c r="GI54" s="19"/>
      <c r="GJ54" s="21"/>
      <c r="GK54" s="19"/>
      <c r="GL54" s="19"/>
      <c r="GM54" s="19"/>
      <c r="GN54" s="19"/>
      <c r="GO54" s="22">
        <v>11</v>
      </c>
      <c r="GP54" s="22">
        <v>11.3</v>
      </c>
      <c r="GQ54" s="22"/>
      <c r="GR54" s="22">
        <v>13.2</v>
      </c>
      <c r="GS54" s="22">
        <v>13.56</v>
      </c>
      <c r="GT54" s="22"/>
      <c r="GU54" s="240" t="s">
        <v>653</v>
      </c>
      <c r="GV54" s="19"/>
      <c r="GW54" s="19"/>
      <c r="GX54" s="19"/>
      <c r="GY54" s="19"/>
      <c r="GZ54" s="23"/>
      <c r="HA54" s="22">
        <v>11.3</v>
      </c>
      <c r="HB54" s="22">
        <v>11.58</v>
      </c>
      <c r="HC54" s="22"/>
      <c r="HD54" s="22">
        <v>13.56</v>
      </c>
      <c r="HE54" s="22">
        <v>13.9</v>
      </c>
      <c r="HF54" s="22"/>
      <c r="HG54" s="240" t="s">
        <v>653</v>
      </c>
    </row>
    <row r="55" spans="2:215" ht="15.75">
      <c r="B55" s="10"/>
      <c r="C55" s="184" t="s">
        <v>164</v>
      </c>
      <c r="D55" s="143">
        <f t="shared" si="287"/>
        <v>195600</v>
      </c>
      <c r="E55" s="73">
        <f>+'[2]2012(объемы годовые)'!M74</f>
        <v>39600</v>
      </c>
      <c r="F55" s="75" t="e">
        <f>+E55*#REF!</f>
        <v>#REF!</v>
      </c>
      <c r="G55" s="75" t="e">
        <f>+E55*#REF!</f>
        <v>#REF!</v>
      </c>
      <c r="H55" s="75" t="e">
        <f>+E55*#REF!</f>
        <v>#REF!</v>
      </c>
      <c r="I55" s="189">
        <f>+'[2]2012(объемы годовые)'!Q74+'[2]2012(объемы годовые)'!U74+'[2]2012(объемы годовые)'!Y74</f>
        <v>156000</v>
      </c>
      <c r="J55" s="75" t="e">
        <f>+I55*#REF!</f>
        <v>#REF!</v>
      </c>
      <c r="K55" s="75" t="e">
        <f>+I55*#REF!</f>
        <v>#REF!</v>
      </c>
      <c r="L55" s="75" t="e">
        <f>+I55*#REF!</f>
        <v>#REF!</v>
      </c>
      <c r="M55" s="73">
        <f t="shared" si="361"/>
        <v>195600</v>
      </c>
      <c r="N55" s="46">
        <f t="shared" si="360"/>
        <v>39600</v>
      </c>
      <c r="O55" s="74">
        <v>19800</v>
      </c>
      <c r="P55" s="74"/>
      <c r="Q55" s="74">
        <v>19800</v>
      </c>
      <c r="R55" s="46">
        <f>+I55</f>
        <v>156000</v>
      </c>
      <c r="S55" s="74">
        <v>78000</v>
      </c>
      <c r="T55" s="74"/>
      <c r="U55" s="74">
        <v>78000</v>
      </c>
      <c r="V55" s="130">
        <v>17.47</v>
      </c>
      <c r="W55" s="130">
        <v>17.47</v>
      </c>
      <c r="X55" s="52">
        <f t="shared" si="288"/>
        <v>100</v>
      </c>
      <c r="Y55" s="130">
        <v>18.11</v>
      </c>
      <c r="Z55" s="22">
        <f t="shared" si="289"/>
        <v>103.66342301087579</v>
      </c>
      <c r="AA55" s="130">
        <v>18.11</v>
      </c>
      <c r="AB55" s="22">
        <f t="shared" si="290"/>
        <v>100</v>
      </c>
      <c r="AC55" s="130">
        <v>18.11</v>
      </c>
      <c r="AD55" s="130">
        <v>18.11</v>
      </c>
      <c r="AE55" s="22">
        <f t="shared" si="291"/>
        <v>110.49144119271122</v>
      </c>
      <c r="AF55" s="22">
        <v>20.010000000000002</v>
      </c>
      <c r="AG55" s="22">
        <f t="shared" si="265"/>
        <v>110.49144119271122</v>
      </c>
      <c r="AH55" s="130">
        <v>11.12</v>
      </c>
      <c r="AI55" s="130">
        <v>11.12</v>
      </c>
      <c r="AJ55" s="52">
        <f t="shared" si="292"/>
        <v>100</v>
      </c>
      <c r="AK55" s="130">
        <v>11.77</v>
      </c>
      <c r="AL55" s="22">
        <f t="shared" si="293"/>
        <v>105.84532374100719</v>
      </c>
      <c r="AM55" s="130">
        <v>12.42</v>
      </c>
      <c r="AN55" s="22">
        <f t="shared" si="294"/>
        <v>105.52251486830926</v>
      </c>
      <c r="AO55" s="22">
        <f t="shared" si="295"/>
        <v>103.66342301087579</v>
      </c>
      <c r="AP55" s="22">
        <f t="shared" si="296"/>
        <v>111.6906474820144</v>
      </c>
      <c r="AQ55" s="22">
        <v>12.42</v>
      </c>
      <c r="AR55" s="22">
        <v>12.42</v>
      </c>
      <c r="AS55" s="22">
        <f t="shared" si="297"/>
        <v>110.49144119271122</v>
      </c>
      <c r="AT55" s="22">
        <v>13.723036996134732</v>
      </c>
      <c r="AU55" s="22">
        <f t="shared" si="266"/>
        <v>110.49144119271122</v>
      </c>
      <c r="AV55" s="77"/>
      <c r="AW55" s="77">
        <f t="shared" si="298"/>
        <v>6.3312460405459321</v>
      </c>
      <c r="AX55" s="239"/>
      <c r="AY55" s="22">
        <f t="shared" si="217"/>
        <v>243.9</v>
      </c>
      <c r="AZ55" s="22">
        <f>+[4]БПр!$O$138/1000</f>
        <v>68.400000000000006</v>
      </c>
      <c r="BA55" s="22">
        <f>+[4]БПр!$N$138/1000</f>
        <v>0.99999999999999978</v>
      </c>
      <c r="BB55" s="22">
        <f>+[4]БПр!$P$138/1000+[4]БПр!$L$138/1000</f>
        <v>174.5</v>
      </c>
      <c r="BC55" s="22">
        <v>20.010000000000002</v>
      </c>
      <c r="BD55" s="22">
        <v>20.85</v>
      </c>
      <c r="BE55" s="22">
        <f t="shared" si="218"/>
        <v>104.19790104947526</v>
      </c>
      <c r="BF55" s="22">
        <v>13.72</v>
      </c>
      <c r="BG55" s="22">
        <v>14.29</v>
      </c>
      <c r="BH55" s="22">
        <f t="shared" si="219"/>
        <v>104.15451895043731</v>
      </c>
      <c r="BI55" s="22"/>
      <c r="BJ55" s="240"/>
      <c r="BK55" s="19">
        <f t="shared" si="353"/>
        <v>3417.2796610169489</v>
      </c>
      <c r="BL55" s="19">
        <f t="shared" si="299"/>
        <v>373.17966101694913</v>
      </c>
      <c r="BM55" s="19">
        <f t="shared" si="356"/>
        <v>318.77999999999992</v>
      </c>
      <c r="BN55" s="19">
        <f t="shared" si="300"/>
        <v>2725.32</v>
      </c>
      <c r="BO55" s="19">
        <f t="shared" si="354"/>
        <v>3542.497220338983</v>
      </c>
      <c r="BP55" s="19">
        <f t="shared" si="301"/>
        <v>394.99322033898306</v>
      </c>
      <c r="BQ55" s="19">
        <f t="shared" si="357"/>
        <v>322.34399999999994</v>
      </c>
      <c r="BR55" s="19">
        <f t="shared" si="302"/>
        <v>2825.16</v>
      </c>
      <c r="BS55" s="19">
        <f t="shared" si="355"/>
        <v>3542.1347796610171</v>
      </c>
      <c r="BT55" s="19">
        <f t="shared" si="303"/>
        <v>416.806779661017</v>
      </c>
      <c r="BU55" s="19">
        <f t="shared" si="358"/>
        <v>300.16800000000001</v>
      </c>
      <c r="BV55" s="19">
        <f t="shared" si="304"/>
        <v>2825.16</v>
      </c>
      <c r="BW55" s="19">
        <f t="shared" si="172"/>
        <v>3542.1347796610171</v>
      </c>
      <c r="BX55" s="19">
        <f t="shared" si="305"/>
        <v>416.806779661017</v>
      </c>
      <c r="BY55" s="19">
        <f t="shared" si="306"/>
        <v>300.16800000000001</v>
      </c>
      <c r="BZ55" s="19">
        <f t="shared" si="307"/>
        <v>2825.16</v>
      </c>
      <c r="CA55" s="19">
        <f t="shared" si="308"/>
        <v>3913.9438178363862</v>
      </c>
      <c r="CB55" s="19">
        <f t="shared" si="309"/>
        <v>460.535817836386</v>
      </c>
      <c r="CC55" s="19">
        <f t="shared" si="310"/>
        <v>331.84800000000007</v>
      </c>
      <c r="CD55" s="19">
        <f t="shared" si="311"/>
        <v>3121.5600000000004</v>
      </c>
      <c r="CE55" s="48">
        <f t="shared" si="312"/>
        <v>17.47</v>
      </c>
      <c r="CF55" s="48">
        <f t="shared" si="313"/>
        <v>18.109999999999996</v>
      </c>
      <c r="CG55" s="48">
        <f t="shared" si="314"/>
        <v>18.109999999999996</v>
      </c>
      <c r="CH55" s="48">
        <f t="shared" si="315"/>
        <v>11.12</v>
      </c>
      <c r="CI55" s="48">
        <f t="shared" si="316"/>
        <v>11.77</v>
      </c>
      <c r="CJ55" s="48">
        <f t="shared" si="317"/>
        <v>12.42</v>
      </c>
      <c r="CK55" s="48">
        <f t="shared" si="318"/>
        <v>17.470754913174588</v>
      </c>
      <c r="CL55" s="48">
        <f t="shared" si="319"/>
        <v>18.110926484350628</v>
      </c>
      <c r="CM55" s="48">
        <f t="shared" si="320"/>
        <v>18.109073515649371</v>
      </c>
      <c r="CN55" s="48">
        <f t="shared" si="321"/>
        <v>17.89691830439153</v>
      </c>
      <c r="CO55" s="48">
        <f t="shared" si="322"/>
        <v>18.109999999999996</v>
      </c>
      <c r="CP55" s="48">
        <f t="shared" si="323"/>
        <v>20.010000000000005</v>
      </c>
      <c r="CQ55" s="48">
        <f t="shared" si="324"/>
        <v>12.42</v>
      </c>
      <c r="CR55" s="48">
        <f t="shared" si="325"/>
        <v>13.723036996134734</v>
      </c>
      <c r="CS55" s="48">
        <f t="shared" si="326"/>
        <v>18.109073515649371</v>
      </c>
      <c r="CT55" s="48">
        <f t="shared" si="327"/>
        <v>20.009937718999932</v>
      </c>
      <c r="CU55" s="48">
        <f t="shared" si="328"/>
        <v>19.05950561732465</v>
      </c>
      <c r="CV55" s="48">
        <f t="shared" si="329"/>
        <v>106.49601955576813</v>
      </c>
      <c r="CW55" s="19" t="e">
        <f t="shared" si="330"/>
        <v>#REF!</v>
      </c>
      <c r="CX55" s="19" t="e">
        <f t="shared" si="331"/>
        <v>#REF!</v>
      </c>
      <c r="CY55" s="19">
        <f t="shared" si="332"/>
        <v>438.67129874870147</v>
      </c>
      <c r="CZ55" s="19">
        <f t="shared" si="333"/>
        <v>754.77599999999995</v>
      </c>
      <c r="DA55" s="21" t="e">
        <f t="shared" si="334"/>
        <v>#REF!</v>
      </c>
      <c r="DB55" s="21">
        <f t="shared" si="335"/>
        <v>58.119402146955053</v>
      </c>
      <c r="DC55" s="79" t="e">
        <f>+IF(CW55=0,,CY55/CW55*100)</f>
        <v>#REF!</v>
      </c>
      <c r="DD55" s="79" t="e">
        <f t="shared" si="336"/>
        <v>#REF!</v>
      </c>
      <c r="DE55" s="79">
        <f t="shared" si="337"/>
        <v>1771.1579999999999</v>
      </c>
      <c r="DF55" s="79">
        <f t="shared" si="337"/>
        <v>0</v>
      </c>
      <c r="DG55" s="79">
        <f t="shared" si="338"/>
        <v>1956.9780000000003</v>
      </c>
      <c r="DH55" s="51">
        <f t="shared" si="339"/>
        <v>3728.1360000000004</v>
      </c>
      <c r="DI55" s="39"/>
      <c r="DJ55" s="80" t="e">
        <f t="shared" si="340"/>
        <v>#REF!</v>
      </c>
      <c r="DK55" s="39" t="e">
        <f t="shared" si="341"/>
        <v>#REF!</v>
      </c>
      <c r="DL55" s="39" t="e">
        <f t="shared" si="342"/>
        <v>#REF!</v>
      </c>
      <c r="DM55" s="48">
        <f>+AT55-'[2]тарифы (12-13) население 15%'!AP83</f>
        <v>-0.55696300386526687</v>
      </c>
      <c r="DN55" s="39"/>
      <c r="DO55" s="39"/>
      <c r="DP55" s="39"/>
      <c r="DQ55" s="39"/>
      <c r="DR55" s="39"/>
      <c r="DS55" s="39"/>
      <c r="DT55" s="39"/>
      <c r="DU55" s="19">
        <f t="shared" si="251"/>
        <v>795.29491525423737</v>
      </c>
      <c r="DV55" s="40">
        <f t="shared" si="267"/>
        <v>828.33559322033909</v>
      </c>
      <c r="DW55" s="40">
        <f t="shared" si="268"/>
        <v>1426.1400000000003</v>
      </c>
      <c r="DX55" s="21">
        <f>+'[1]тарифы (НВВ) население на 4,2%'!CN87</f>
        <v>55.552509932196415</v>
      </c>
      <c r="DY55" s="21">
        <f t="shared" si="252"/>
        <v>58.082347681177083</v>
      </c>
      <c r="DZ55" s="19">
        <f t="shared" si="253"/>
        <v>4.880439</v>
      </c>
      <c r="EA55" s="19">
        <f t="shared" si="254"/>
        <v>5.0853150000000005</v>
      </c>
      <c r="EB55" s="19"/>
      <c r="EC55" s="48">
        <f>+(BC55-BF55/1.18)*AZ55</f>
        <v>573.38908474576283</v>
      </c>
      <c r="ED55" s="48">
        <f>+(BD55-BG55/1.18)*AZ55</f>
        <v>597.80440677966112</v>
      </c>
      <c r="EE55" s="22">
        <v>20.85</v>
      </c>
      <c r="EF55" s="22">
        <v>22.1</v>
      </c>
      <c r="EG55" s="22">
        <f t="shared" si="255"/>
        <v>105.99520383693046</v>
      </c>
      <c r="EH55" s="22">
        <v>14.29</v>
      </c>
      <c r="EI55" s="22">
        <v>15.5</v>
      </c>
      <c r="EJ55" s="22">
        <f t="shared" si="256"/>
        <v>108.4674597620714</v>
      </c>
      <c r="EK55" s="240"/>
      <c r="EL55" s="19">
        <v>287.11</v>
      </c>
      <c r="EM55" s="19">
        <v>53.61</v>
      </c>
      <c r="EN55" s="40">
        <f t="shared" si="271"/>
        <v>704.19915254237299</v>
      </c>
      <c r="EO55" s="40">
        <f t="shared" si="272"/>
        <v>1184.7810000000002</v>
      </c>
      <c r="EP55" s="40"/>
      <c r="EQ55" s="21">
        <f t="shared" si="257"/>
        <v>59.437073395199015</v>
      </c>
      <c r="ER55" s="21"/>
      <c r="ES55" s="19">
        <f t="shared" si="286"/>
        <v>5986.2435000000005</v>
      </c>
      <c r="ET55" s="19"/>
      <c r="EU55" s="19">
        <f t="shared" si="258"/>
        <v>6345.1310000000003</v>
      </c>
      <c r="EV55" s="21"/>
      <c r="EW55" s="39"/>
      <c r="EX55" s="39">
        <f t="shared" si="259"/>
        <v>5085.3150000000005</v>
      </c>
      <c r="EY55" s="39">
        <f t="shared" si="149"/>
        <v>5390.1900000000005</v>
      </c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19">
        <f t="shared" si="274"/>
        <v>468.54231355932211</v>
      </c>
      <c r="FK55" s="19">
        <f t="shared" si="275"/>
        <v>480.58184745762713</v>
      </c>
      <c r="FL55" s="19">
        <f t="shared" si="276"/>
        <v>949.1241610169493</v>
      </c>
      <c r="FM55" s="19">
        <v>299.411</v>
      </c>
      <c r="FN55" s="19">
        <v>52.325000000000003</v>
      </c>
      <c r="FO55" s="22">
        <v>27.42</v>
      </c>
      <c r="FP55" s="22">
        <v>27.97</v>
      </c>
      <c r="FQ55" s="22"/>
      <c r="FR55" s="22">
        <v>21.25</v>
      </c>
      <c r="FS55" s="22">
        <v>21.82</v>
      </c>
      <c r="FT55" s="22">
        <f t="shared" si="343"/>
        <v>102.68235294117648</v>
      </c>
      <c r="FU55" s="240"/>
      <c r="FV55" s="19"/>
      <c r="FW55" s="19"/>
      <c r="FX55" s="19"/>
      <c r="FY55" s="19"/>
      <c r="FZ55" s="19"/>
      <c r="GA55" s="19"/>
      <c r="GB55" s="19"/>
      <c r="GC55" s="20"/>
      <c r="GD55" s="20"/>
      <c r="GE55" s="21"/>
      <c r="GF55" s="21"/>
      <c r="GG55" s="19"/>
      <c r="GH55" s="19"/>
      <c r="GI55" s="19"/>
      <c r="GJ55" s="21"/>
      <c r="GK55" s="19"/>
      <c r="GL55" s="19"/>
      <c r="GM55" s="19"/>
      <c r="GN55" s="19"/>
      <c r="GO55" s="22">
        <v>27.97</v>
      </c>
      <c r="GP55" s="22">
        <v>28.63</v>
      </c>
      <c r="GQ55" s="22"/>
      <c r="GR55" s="22">
        <v>21.82</v>
      </c>
      <c r="GS55" s="22">
        <v>22.69</v>
      </c>
      <c r="GT55" s="22"/>
      <c r="GU55" s="240"/>
      <c r="GV55" s="19"/>
      <c r="GW55" s="19"/>
      <c r="GX55" s="19"/>
      <c r="GY55" s="19"/>
      <c r="GZ55" s="23"/>
      <c r="HA55" s="22">
        <v>28.63</v>
      </c>
      <c r="HB55" s="22">
        <v>29.24</v>
      </c>
      <c r="HC55" s="22"/>
      <c r="HD55" s="22">
        <v>22.69</v>
      </c>
      <c r="HE55" s="22">
        <v>23.6</v>
      </c>
      <c r="HF55" s="22"/>
      <c r="HG55" s="240"/>
    </row>
    <row r="56" spans="2:215" ht="15.75">
      <c r="B56" s="10"/>
      <c r="C56" s="186" t="s">
        <v>574</v>
      </c>
      <c r="D56" s="76"/>
      <c r="E56" s="73"/>
      <c r="F56" s="74"/>
      <c r="G56" s="74"/>
      <c r="H56" s="74"/>
      <c r="I56" s="73"/>
      <c r="J56" s="73"/>
      <c r="K56" s="73"/>
      <c r="L56" s="73"/>
      <c r="M56" s="76"/>
      <c r="N56" s="73"/>
      <c r="O56" s="76"/>
      <c r="P56" s="76"/>
      <c r="Q56" s="76"/>
      <c r="R56" s="73"/>
      <c r="S56" s="74"/>
      <c r="T56" s="74"/>
      <c r="U56" s="74"/>
      <c r="V56" s="52"/>
      <c r="W56" s="52"/>
      <c r="X56" s="52"/>
      <c r="Y56" s="52"/>
      <c r="Z56" s="22"/>
      <c r="AA56" s="52"/>
      <c r="AB56" s="22"/>
      <c r="AC56" s="52"/>
      <c r="AD56" s="52"/>
      <c r="AE56" s="22"/>
      <c r="AF56" s="22"/>
      <c r="AG56" s="22"/>
      <c r="AH56" s="22"/>
      <c r="AI56" s="22"/>
      <c r="AJ56" s="5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77"/>
      <c r="AW56" s="77"/>
      <c r="AX56" s="78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40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19"/>
      <c r="CX56" s="19"/>
      <c r="CY56" s="19"/>
      <c r="CZ56" s="19"/>
      <c r="DA56" s="21"/>
      <c r="DB56" s="21"/>
      <c r="DC56" s="79"/>
      <c r="DD56" s="79"/>
      <c r="DE56" s="79"/>
      <c r="DF56" s="79"/>
      <c r="DG56" s="79"/>
      <c r="DH56" s="51"/>
      <c r="DI56" s="39"/>
      <c r="DJ56" s="80"/>
      <c r="DK56" s="39"/>
      <c r="DL56" s="39"/>
      <c r="DM56" s="48"/>
      <c r="DN56" s="39"/>
      <c r="DO56" s="39"/>
      <c r="DP56" s="39"/>
      <c r="DQ56" s="39"/>
      <c r="DR56" s="39"/>
      <c r="DS56" s="39"/>
      <c r="DT56" s="39"/>
      <c r="DU56" s="19"/>
      <c r="DV56" s="40"/>
      <c r="DW56" s="40"/>
      <c r="DX56" s="21"/>
      <c r="DY56" s="21"/>
      <c r="DZ56" s="19"/>
      <c r="EA56" s="19"/>
      <c r="EB56" s="19"/>
      <c r="EC56" s="48"/>
      <c r="ED56" s="48"/>
      <c r="EE56" s="22"/>
      <c r="EF56" s="22"/>
      <c r="EG56" s="22"/>
      <c r="EH56" s="22"/>
      <c r="EI56" s="22"/>
      <c r="EJ56" s="22"/>
      <c r="EK56" s="40"/>
      <c r="EL56" s="19"/>
      <c r="EM56" s="19"/>
      <c r="EN56" s="40"/>
      <c r="EO56" s="40"/>
      <c r="EP56" s="40"/>
      <c r="EQ56" s="21"/>
      <c r="ER56" s="21"/>
      <c r="ES56" s="19"/>
      <c r="ET56" s="19"/>
      <c r="EU56" s="19"/>
      <c r="EV56" s="21"/>
      <c r="EW56" s="166"/>
      <c r="EX56" s="39"/>
      <c r="EY56" s="39"/>
      <c r="EZ56" s="39"/>
      <c r="FA56" s="39"/>
      <c r="FB56" s="39"/>
      <c r="FC56" s="39"/>
      <c r="FD56" s="39"/>
      <c r="FE56" s="39"/>
      <c r="FF56" s="39"/>
      <c r="FG56" s="39"/>
      <c r="FH56" s="39"/>
      <c r="FI56" s="39"/>
      <c r="FJ56" s="19"/>
      <c r="FK56" s="19"/>
      <c r="FL56" s="19"/>
      <c r="FM56" s="19"/>
      <c r="FN56" s="19"/>
      <c r="FO56" s="22"/>
      <c r="FP56" s="22"/>
      <c r="FQ56" s="22"/>
      <c r="FR56" s="22"/>
      <c r="FS56" s="22"/>
      <c r="FT56" s="22"/>
      <c r="FU56" s="40"/>
      <c r="FV56" s="19"/>
      <c r="FW56" s="19"/>
      <c r="FX56" s="19"/>
      <c r="FY56" s="19"/>
      <c r="FZ56" s="19"/>
      <c r="GA56" s="19"/>
      <c r="GB56" s="19"/>
      <c r="GC56" s="20"/>
      <c r="GD56" s="20"/>
      <c r="GE56" s="19"/>
      <c r="GF56" s="19"/>
      <c r="GG56" s="19"/>
      <c r="GH56" s="19"/>
      <c r="GI56" s="19"/>
      <c r="GJ56" s="21"/>
      <c r="GK56" s="19"/>
      <c r="GL56" s="19"/>
      <c r="GM56" s="19"/>
      <c r="GN56" s="19"/>
      <c r="GO56" s="22"/>
      <c r="GP56" s="22"/>
      <c r="GQ56" s="22"/>
      <c r="GR56" s="22"/>
      <c r="GS56" s="22"/>
      <c r="GT56" s="22"/>
      <c r="GU56" s="43"/>
      <c r="GV56" s="19"/>
      <c r="GW56" s="19"/>
      <c r="GX56" s="19"/>
      <c r="GY56" s="19"/>
      <c r="GZ56" s="23"/>
      <c r="HA56" s="22"/>
      <c r="HB56" s="22"/>
      <c r="HC56" s="22"/>
      <c r="HD56" s="22"/>
      <c r="HE56" s="22"/>
      <c r="HF56" s="22"/>
      <c r="HG56" s="233"/>
    </row>
    <row r="57" spans="2:215" ht="15.75">
      <c r="B57" s="10"/>
      <c r="C57" s="184" t="s">
        <v>131</v>
      </c>
      <c r="D57" s="76"/>
      <c r="E57" s="73"/>
      <c r="F57" s="74"/>
      <c r="G57" s="74"/>
      <c r="H57" s="74"/>
      <c r="I57" s="73"/>
      <c r="J57" s="73"/>
      <c r="K57" s="73"/>
      <c r="L57" s="73"/>
      <c r="M57" s="76"/>
      <c r="N57" s="73"/>
      <c r="O57" s="76"/>
      <c r="P57" s="76"/>
      <c r="Q57" s="76"/>
      <c r="R57" s="73"/>
      <c r="S57" s="74"/>
      <c r="T57" s="74"/>
      <c r="U57" s="74"/>
      <c r="V57" s="52"/>
      <c r="W57" s="52"/>
      <c r="X57" s="52"/>
      <c r="Y57" s="52"/>
      <c r="Z57" s="22"/>
      <c r="AA57" s="52"/>
      <c r="AB57" s="22"/>
      <c r="AC57" s="52"/>
      <c r="AD57" s="52"/>
      <c r="AE57" s="22"/>
      <c r="AF57" s="22"/>
      <c r="AG57" s="22"/>
      <c r="AH57" s="22"/>
      <c r="AI57" s="22"/>
      <c r="AJ57" s="5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77"/>
      <c r="AW57" s="77"/>
      <c r="AX57" s="78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40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19"/>
      <c r="CX57" s="19"/>
      <c r="CY57" s="19"/>
      <c r="CZ57" s="19"/>
      <c r="DA57" s="21"/>
      <c r="DB57" s="21"/>
      <c r="DC57" s="79"/>
      <c r="DD57" s="79"/>
      <c r="DE57" s="79"/>
      <c r="DF57" s="79"/>
      <c r="DG57" s="79"/>
      <c r="DH57" s="51"/>
      <c r="DI57" s="39"/>
      <c r="DJ57" s="80"/>
      <c r="DK57" s="39"/>
      <c r="DL57" s="39"/>
      <c r="DM57" s="48"/>
      <c r="DN57" s="39"/>
      <c r="DO57" s="39"/>
      <c r="DP57" s="39"/>
      <c r="DQ57" s="39"/>
      <c r="DR57" s="39"/>
      <c r="DS57" s="39"/>
      <c r="DT57" s="39"/>
      <c r="DU57" s="19"/>
      <c r="DV57" s="40"/>
      <c r="DW57" s="40"/>
      <c r="DX57" s="21"/>
      <c r="DY57" s="21"/>
      <c r="DZ57" s="19"/>
      <c r="EA57" s="19"/>
      <c r="EB57" s="19"/>
      <c r="EC57" s="48"/>
      <c r="ED57" s="48"/>
      <c r="EE57" s="22"/>
      <c r="EF57" s="22"/>
      <c r="EG57" s="22"/>
      <c r="EH57" s="22"/>
      <c r="EI57" s="22"/>
      <c r="EJ57" s="22"/>
      <c r="EK57" s="40"/>
      <c r="EL57" s="19"/>
      <c r="EM57" s="19"/>
      <c r="EN57" s="40"/>
      <c r="EO57" s="40"/>
      <c r="EP57" s="40"/>
      <c r="EQ57" s="21"/>
      <c r="ER57" s="21"/>
      <c r="ES57" s="19"/>
      <c r="ET57" s="19"/>
      <c r="EU57" s="19"/>
      <c r="EV57" s="21"/>
      <c r="EW57" s="166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19"/>
      <c r="FK57" s="19"/>
      <c r="FL57" s="19"/>
      <c r="FM57" s="19"/>
      <c r="FN57" s="19"/>
      <c r="FO57" s="22">
        <v>21.26</v>
      </c>
      <c r="FP57" s="22">
        <v>21.69</v>
      </c>
      <c r="FQ57" s="22"/>
      <c r="FR57" s="22">
        <v>25.51</v>
      </c>
      <c r="FS57" s="22">
        <v>26.03</v>
      </c>
      <c r="FT57" s="22"/>
      <c r="FU57" s="242" t="s">
        <v>648</v>
      </c>
      <c r="FV57" s="19"/>
      <c r="FW57" s="19"/>
      <c r="FX57" s="19"/>
      <c r="FY57" s="19"/>
      <c r="FZ57" s="19"/>
      <c r="GA57" s="19"/>
      <c r="GB57" s="19"/>
      <c r="GC57" s="20"/>
      <c r="GD57" s="20"/>
      <c r="GE57" s="19"/>
      <c r="GF57" s="19"/>
      <c r="GG57" s="19"/>
      <c r="GH57" s="19"/>
      <c r="GI57" s="19"/>
      <c r="GJ57" s="21"/>
      <c r="GK57" s="19"/>
      <c r="GL57" s="19"/>
      <c r="GM57" s="19"/>
      <c r="GN57" s="19"/>
      <c r="GO57" s="22">
        <v>21.89</v>
      </c>
      <c r="GP57" s="22">
        <v>22.66</v>
      </c>
      <c r="GQ57" s="22"/>
      <c r="GR57" s="22">
        <v>25.83</v>
      </c>
      <c r="GS57" s="22">
        <v>26.74</v>
      </c>
      <c r="GT57" s="22"/>
      <c r="GU57" s="242" t="s">
        <v>648</v>
      </c>
      <c r="GV57" s="19"/>
      <c r="GW57" s="19"/>
      <c r="GX57" s="19"/>
      <c r="GY57" s="19"/>
      <c r="GZ57" s="23"/>
      <c r="HA57" s="22" t="s">
        <v>633</v>
      </c>
      <c r="HB57" s="22" t="s">
        <v>633</v>
      </c>
      <c r="HC57" s="22"/>
      <c r="HD57" s="22" t="s">
        <v>633</v>
      </c>
      <c r="HE57" s="22" t="s">
        <v>633</v>
      </c>
      <c r="HF57" s="22"/>
      <c r="HG57" s="233" t="s">
        <v>633</v>
      </c>
    </row>
    <row r="58" spans="2:215" ht="15.75">
      <c r="B58" s="10"/>
      <c r="C58" s="184" t="s">
        <v>587</v>
      </c>
      <c r="D58" s="76"/>
      <c r="E58" s="73"/>
      <c r="F58" s="74"/>
      <c r="G58" s="74"/>
      <c r="H58" s="74"/>
      <c r="I58" s="73"/>
      <c r="J58" s="73"/>
      <c r="K58" s="73"/>
      <c r="L58" s="73"/>
      <c r="M58" s="76"/>
      <c r="N58" s="73"/>
      <c r="O58" s="76"/>
      <c r="P58" s="76"/>
      <c r="Q58" s="76"/>
      <c r="R58" s="73"/>
      <c r="S58" s="74"/>
      <c r="T58" s="74"/>
      <c r="U58" s="74"/>
      <c r="V58" s="52"/>
      <c r="W58" s="52"/>
      <c r="X58" s="52"/>
      <c r="Y58" s="52"/>
      <c r="Z58" s="22"/>
      <c r="AA58" s="52"/>
      <c r="AB58" s="22"/>
      <c r="AC58" s="52"/>
      <c r="AD58" s="52"/>
      <c r="AE58" s="22"/>
      <c r="AF58" s="22"/>
      <c r="AG58" s="22"/>
      <c r="AH58" s="22"/>
      <c r="AI58" s="22"/>
      <c r="AJ58" s="5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77"/>
      <c r="AW58" s="77"/>
      <c r="AX58" s="78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40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19"/>
      <c r="CX58" s="19"/>
      <c r="CY58" s="19"/>
      <c r="CZ58" s="19"/>
      <c r="DA58" s="21"/>
      <c r="DB58" s="21"/>
      <c r="DC58" s="79"/>
      <c r="DD58" s="79"/>
      <c r="DE58" s="79"/>
      <c r="DF58" s="79"/>
      <c r="DG58" s="79"/>
      <c r="DH58" s="51"/>
      <c r="DI58" s="39"/>
      <c r="DJ58" s="80"/>
      <c r="DK58" s="39"/>
      <c r="DL58" s="39"/>
      <c r="DM58" s="48"/>
      <c r="DN58" s="39"/>
      <c r="DO58" s="39"/>
      <c r="DP58" s="39"/>
      <c r="DQ58" s="39"/>
      <c r="DR58" s="39"/>
      <c r="DS58" s="39"/>
      <c r="DT58" s="39"/>
      <c r="DU58" s="19"/>
      <c r="DV58" s="40"/>
      <c r="DW58" s="40"/>
      <c r="DX58" s="21"/>
      <c r="DY58" s="21"/>
      <c r="DZ58" s="19"/>
      <c r="EA58" s="19"/>
      <c r="EB58" s="19"/>
      <c r="EC58" s="48"/>
      <c r="ED58" s="48"/>
      <c r="EE58" s="22"/>
      <c r="EF58" s="22"/>
      <c r="EG58" s="22"/>
      <c r="EH58" s="22"/>
      <c r="EI58" s="22"/>
      <c r="EJ58" s="22"/>
      <c r="EK58" s="40"/>
      <c r="EL58" s="19"/>
      <c r="EM58" s="19"/>
      <c r="EN58" s="40"/>
      <c r="EO58" s="40"/>
      <c r="EP58" s="40"/>
      <c r="EQ58" s="21"/>
      <c r="ER58" s="21"/>
      <c r="ES58" s="19"/>
      <c r="ET58" s="19"/>
      <c r="EU58" s="19"/>
      <c r="EV58" s="21"/>
      <c r="EW58" s="166"/>
      <c r="EX58" s="39"/>
      <c r="EY58" s="39"/>
      <c r="EZ58" s="39"/>
      <c r="FA58" s="39"/>
      <c r="FB58" s="39"/>
      <c r="FC58" s="39"/>
      <c r="FD58" s="39"/>
      <c r="FE58" s="39"/>
      <c r="FF58" s="39"/>
      <c r="FG58" s="39"/>
      <c r="FH58" s="39"/>
      <c r="FI58" s="39"/>
      <c r="FJ58" s="19"/>
      <c r="FK58" s="19"/>
      <c r="FL58" s="19"/>
      <c r="FM58" s="19"/>
      <c r="FN58" s="19"/>
      <c r="FO58" s="22">
        <v>6.42</v>
      </c>
      <c r="FP58" s="22">
        <v>6.52</v>
      </c>
      <c r="FQ58" s="22"/>
      <c r="FR58" s="22">
        <v>7.7</v>
      </c>
      <c r="FS58" s="22">
        <v>7.82</v>
      </c>
      <c r="FT58" s="22"/>
      <c r="FU58" s="242"/>
      <c r="FV58" s="19"/>
      <c r="FW58" s="19"/>
      <c r="FX58" s="19"/>
      <c r="FY58" s="19"/>
      <c r="FZ58" s="19"/>
      <c r="GA58" s="19"/>
      <c r="GB58" s="19"/>
      <c r="GC58" s="20"/>
      <c r="GD58" s="20"/>
      <c r="GE58" s="19"/>
      <c r="GF58" s="19"/>
      <c r="GG58" s="19"/>
      <c r="GH58" s="19"/>
      <c r="GI58" s="19"/>
      <c r="GJ58" s="21"/>
      <c r="GK58" s="19"/>
      <c r="GL58" s="19"/>
      <c r="GM58" s="19"/>
      <c r="GN58" s="19"/>
      <c r="GO58" s="22">
        <v>6.61</v>
      </c>
      <c r="GP58" s="22">
        <v>6.81</v>
      </c>
      <c r="GQ58" s="22"/>
      <c r="GR58" s="22">
        <v>7.8</v>
      </c>
      <c r="GS58" s="22">
        <v>8.0399999999999991</v>
      </c>
      <c r="GT58" s="22"/>
      <c r="GU58" s="242"/>
      <c r="GV58" s="19"/>
      <c r="GW58" s="19"/>
      <c r="GX58" s="19"/>
      <c r="GY58" s="19"/>
      <c r="GZ58" s="23"/>
      <c r="HA58" s="22" t="s">
        <v>633</v>
      </c>
      <c r="HB58" s="22" t="s">
        <v>633</v>
      </c>
      <c r="HC58" s="22"/>
      <c r="HD58" s="22" t="s">
        <v>633</v>
      </c>
      <c r="HE58" s="22" t="s">
        <v>633</v>
      </c>
      <c r="HF58" s="22"/>
      <c r="HG58" s="233" t="s">
        <v>633</v>
      </c>
    </row>
    <row r="59" spans="2:215" ht="15.75">
      <c r="B59" s="10"/>
      <c r="C59" s="161" t="s">
        <v>206</v>
      </c>
      <c r="D59" s="76"/>
      <c r="E59" s="73"/>
      <c r="F59" s="74"/>
      <c r="G59" s="74"/>
      <c r="H59" s="74"/>
      <c r="I59" s="73"/>
      <c r="J59" s="73"/>
      <c r="K59" s="73"/>
      <c r="L59" s="73"/>
      <c r="M59" s="76"/>
      <c r="N59" s="73"/>
      <c r="O59" s="76"/>
      <c r="P59" s="76"/>
      <c r="Q59" s="76"/>
      <c r="R59" s="73"/>
      <c r="S59" s="74"/>
      <c r="T59" s="74"/>
      <c r="U59" s="74"/>
      <c r="V59" s="52"/>
      <c r="W59" s="52"/>
      <c r="X59" s="52"/>
      <c r="Y59" s="52"/>
      <c r="Z59" s="22"/>
      <c r="AA59" s="52"/>
      <c r="AB59" s="22"/>
      <c r="AC59" s="52"/>
      <c r="AD59" s="52"/>
      <c r="AE59" s="22"/>
      <c r="AF59" s="22"/>
      <c r="AG59" s="22"/>
      <c r="AH59" s="22"/>
      <c r="AI59" s="22"/>
      <c r="AJ59" s="5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77"/>
      <c r="AW59" s="77"/>
      <c r="AX59" s="78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40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19"/>
      <c r="CX59" s="19"/>
      <c r="CY59" s="19"/>
      <c r="CZ59" s="19"/>
      <c r="DA59" s="21"/>
      <c r="DB59" s="21"/>
      <c r="DC59" s="79"/>
      <c r="DD59" s="79"/>
      <c r="DE59" s="79"/>
      <c r="DF59" s="79"/>
      <c r="DG59" s="79"/>
      <c r="DH59" s="51"/>
      <c r="DI59" s="39"/>
      <c r="DJ59" s="80"/>
      <c r="DK59" s="39"/>
      <c r="DL59" s="39"/>
      <c r="DM59" s="48"/>
      <c r="DN59" s="39"/>
      <c r="DO59" s="39"/>
      <c r="DP59" s="39"/>
      <c r="DQ59" s="39"/>
      <c r="DR59" s="39"/>
      <c r="DS59" s="39"/>
      <c r="DT59" s="39"/>
      <c r="DU59" s="19"/>
      <c r="DV59" s="40"/>
      <c r="DW59" s="40"/>
      <c r="DX59" s="21"/>
      <c r="DY59" s="21"/>
      <c r="DZ59" s="19"/>
      <c r="EA59" s="19"/>
      <c r="EB59" s="19"/>
      <c r="EC59" s="48"/>
      <c r="ED59" s="48"/>
      <c r="EE59" s="22"/>
      <c r="EF59" s="22"/>
      <c r="EG59" s="22"/>
      <c r="EH59" s="22"/>
      <c r="EI59" s="22"/>
      <c r="EJ59" s="22"/>
      <c r="EK59" s="40"/>
      <c r="EL59" s="19"/>
      <c r="EM59" s="19"/>
      <c r="EN59" s="40"/>
      <c r="EO59" s="40"/>
      <c r="EP59" s="40"/>
      <c r="EQ59" s="21"/>
      <c r="ER59" s="21"/>
      <c r="ES59" s="19"/>
      <c r="ET59" s="19"/>
      <c r="EU59" s="19"/>
      <c r="EV59" s="21"/>
      <c r="EW59" s="166"/>
      <c r="EX59" s="39"/>
      <c r="EY59" s="39"/>
      <c r="EZ59" s="39"/>
      <c r="FA59" s="39"/>
      <c r="FB59" s="39"/>
      <c r="FC59" s="39"/>
      <c r="FD59" s="39"/>
      <c r="FE59" s="39"/>
      <c r="FF59" s="39"/>
      <c r="FG59" s="39"/>
      <c r="FH59" s="39"/>
      <c r="FI59" s="39"/>
      <c r="FJ59" s="19"/>
      <c r="FK59" s="19"/>
      <c r="FL59" s="19"/>
      <c r="FM59" s="19"/>
      <c r="FN59" s="19"/>
      <c r="FO59" s="22">
        <v>2862.99</v>
      </c>
      <c r="FP59" s="22">
        <v>2940.25</v>
      </c>
      <c r="FQ59" s="22"/>
      <c r="FR59" s="22">
        <v>1918.93</v>
      </c>
      <c r="FS59" s="22">
        <v>1970.55</v>
      </c>
      <c r="FT59" s="22"/>
      <c r="FU59" s="242" t="s">
        <v>647</v>
      </c>
      <c r="FV59" s="19"/>
      <c r="FW59" s="19"/>
      <c r="FX59" s="19"/>
      <c r="FY59" s="19"/>
      <c r="FZ59" s="19"/>
      <c r="GA59" s="19"/>
      <c r="GB59" s="19"/>
      <c r="GC59" s="20"/>
      <c r="GD59" s="20"/>
      <c r="GE59" s="19"/>
      <c r="GF59" s="19"/>
      <c r="GG59" s="19"/>
      <c r="GH59" s="19"/>
      <c r="GI59" s="19"/>
      <c r="GJ59" s="21"/>
      <c r="GK59" s="19"/>
      <c r="GL59" s="19"/>
      <c r="GM59" s="19"/>
      <c r="GN59" s="19"/>
      <c r="GO59" s="22">
        <v>2957.08</v>
      </c>
      <c r="GP59" s="22">
        <v>3061.89</v>
      </c>
      <c r="GQ59" s="22"/>
      <c r="GR59" s="22">
        <v>1962.52</v>
      </c>
      <c r="GS59" s="22">
        <v>2041.02</v>
      </c>
      <c r="GT59" s="22"/>
      <c r="GU59" s="242" t="s">
        <v>647</v>
      </c>
      <c r="GV59" s="19"/>
      <c r="GW59" s="19"/>
      <c r="GX59" s="19"/>
      <c r="GY59" s="19"/>
      <c r="GZ59" s="23"/>
      <c r="HA59" s="22" t="s">
        <v>633</v>
      </c>
      <c r="HB59" s="22" t="s">
        <v>633</v>
      </c>
      <c r="HC59" s="22"/>
      <c r="HD59" s="22" t="s">
        <v>633</v>
      </c>
      <c r="HE59" s="22" t="s">
        <v>633</v>
      </c>
      <c r="HF59" s="22"/>
      <c r="HG59" s="233" t="s">
        <v>633</v>
      </c>
    </row>
    <row r="60" spans="2:215" ht="15.75">
      <c r="B60" s="10"/>
      <c r="C60" s="161" t="s">
        <v>577</v>
      </c>
      <c r="D60" s="76"/>
      <c r="E60" s="73"/>
      <c r="F60" s="74"/>
      <c r="G60" s="74"/>
      <c r="H60" s="74"/>
      <c r="I60" s="73"/>
      <c r="J60" s="73"/>
      <c r="K60" s="73"/>
      <c r="L60" s="73"/>
      <c r="M60" s="76"/>
      <c r="N60" s="73"/>
      <c r="O60" s="76"/>
      <c r="P60" s="76"/>
      <c r="Q60" s="76"/>
      <c r="R60" s="73"/>
      <c r="S60" s="74"/>
      <c r="T60" s="74"/>
      <c r="U60" s="74"/>
      <c r="V60" s="52"/>
      <c r="W60" s="52"/>
      <c r="X60" s="52"/>
      <c r="Y60" s="52"/>
      <c r="Z60" s="22"/>
      <c r="AA60" s="52"/>
      <c r="AB60" s="22"/>
      <c r="AC60" s="52"/>
      <c r="AD60" s="52"/>
      <c r="AE60" s="22"/>
      <c r="AF60" s="22"/>
      <c r="AG60" s="22"/>
      <c r="AH60" s="22"/>
      <c r="AI60" s="22"/>
      <c r="AJ60" s="5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77"/>
      <c r="AW60" s="77"/>
      <c r="AX60" s="78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40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19"/>
      <c r="CX60" s="19"/>
      <c r="CY60" s="19"/>
      <c r="CZ60" s="19"/>
      <c r="DA60" s="21"/>
      <c r="DB60" s="21"/>
      <c r="DC60" s="79"/>
      <c r="DD60" s="79"/>
      <c r="DE60" s="79"/>
      <c r="DF60" s="79"/>
      <c r="DG60" s="79"/>
      <c r="DH60" s="51"/>
      <c r="DI60" s="39"/>
      <c r="DJ60" s="80"/>
      <c r="DK60" s="39"/>
      <c r="DL60" s="39"/>
      <c r="DM60" s="48"/>
      <c r="DN60" s="39"/>
      <c r="DO60" s="39"/>
      <c r="DP60" s="39"/>
      <c r="DQ60" s="39"/>
      <c r="DR60" s="39"/>
      <c r="DS60" s="39"/>
      <c r="DT60" s="39"/>
      <c r="DU60" s="19"/>
      <c r="DV60" s="40"/>
      <c r="DW60" s="40"/>
      <c r="DX60" s="21"/>
      <c r="DY60" s="21"/>
      <c r="DZ60" s="19"/>
      <c r="EA60" s="19"/>
      <c r="EB60" s="19"/>
      <c r="EC60" s="48"/>
      <c r="ED60" s="48"/>
      <c r="EE60" s="22"/>
      <c r="EF60" s="22"/>
      <c r="EG60" s="22"/>
      <c r="EH60" s="22"/>
      <c r="EI60" s="22"/>
      <c r="EJ60" s="22"/>
      <c r="EK60" s="40"/>
      <c r="EL60" s="19"/>
      <c r="EM60" s="19"/>
      <c r="EN60" s="40"/>
      <c r="EO60" s="40"/>
      <c r="EP60" s="40"/>
      <c r="EQ60" s="21"/>
      <c r="ER60" s="21"/>
      <c r="ES60" s="19"/>
      <c r="ET60" s="19"/>
      <c r="EU60" s="19"/>
      <c r="EV60" s="21"/>
      <c r="EW60" s="166"/>
      <c r="EX60" s="39"/>
      <c r="EY60" s="39"/>
      <c r="EZ60" s="39"/>
      <c r="FA60" s="39"/>
      <c r="FB60" s="39"/>
      <c r="FC60" s="39"/>
      <c r="FD60" s="39"/>
      <c r="FE60" s="39"/>
      <c r="FF60" s="39"/>
      <c r="FG60" s="39"/>
      <c r="FH60" s="39"/>
      <c r="FI60" s="39"/>
      <c r="FJ60" s="19"/>
      <c r="FK60" s="19"/>
      <c r="FL60" s="19"/>
      <c r="FM60" s="19"/>
      <c r="FN60" s="19"/>
      <c r="FO60" s="22">
        <v>2862.99</v>
      </c>
      <c r="FP60" s="22">
        <v>2940.25</v>
      </c>
      <c r="FQ60" s="22"/>
      <c r="FR60" s="22">
        <v>1539.1</v>
      </c>
      <c r="FS60" s="22">
        <v>1580.5</v>
      </c>
      <c r="FT60" s="22"/>
      <c r="FU60" s="242"/>
      <c r="FV60" s="19"/>
      <c r="FW60" s="19"/>
      <c r="FX60" s="19"/>
      <c r="FY60" s="19"/>
      <c r="FZ60" s="19"/>
      <c r="GA60" s="19"/>
      <c r="GB60" s="19"/>
      <c r="GC60" s="20"/>
      <c r="GD60" s="20"/>
      <c r="GE60" s="19"/>
      <c r="GF60" s="19"/>
      <c r="GG60" s="19"/>
      <c r="GH60" s="19"/>
      <c r="GI60" s="19"/>
      <c r="GJ60" s="21"/>
      <c r="GK60" s="19"/>
      <c r="GL60" s="19"/>
      <c r="GM60" s="19"/>
      <c r="GN60" s="19"/>
      <c r="GO60" s="22">
        <v>2957.08</v>
      </c>
      <c r="GP60" s="22">
        <v>3061.89</v>
      </c>
      <c r="GQ60" s="22"/>
      <c r="GR60" s="22">
        <v>1574.06</v>
      </c>
      <c r="GS60" s="22">
        <v>1637.02</v>
      </c>
      <c r="GT60" s="22"/>
      <c r="GU60" s="242"/>
      <c r="GV60" s="19"/>
      <c r="GW60" s="19"/>
      <c r="GX60" s="19"/>
      <c r="GY60" s="19"/>
      <c r="GZ60" s="23"/>
      <c r="HA60" s="22" t="s">
        <v>633</v>
      </c>
      <c r="HB60" s="22" t="s">
        <v>633</v>
      </c>
      <c r="HC60" s="22"/>
      <c r="HD60" s="22" t="s">
        <v>633</v>
      </c>
      <c r="HE60" s="22" t="s">
        <v>633</v>
      </c>
      <c r="HF60" s="22"/>
      <c r="HG60" s="233" t="s">
        <v>633</v>
      </c>
    </row>
    <row r="61" spans="2:215" ht="15.75">
      <c r="B61" s="10"/>
      <c r="C61" s="184" t="s">
        <v>575</v>
      </c>
      <c r="D61" s="76"/>
      <c r="E61" s="73"/>
      <c r="F61" s="74"/>
      <c r="G61" s="74"/>
      <c r="H61" s="74"/>
      <c r="I61" s="73"/>
      <c r="J61" s="73"/>
      <c r="K61" s="73"/>
      <c r="L61" s="73"/>
      <c r="M61" s="76"/>
      <c r="N61" s="73"/>
      <c r="O61" s="76"/>
      <c r="P61" s="76"/>
      <c r="Q61" s="76"/>
      <c r="R61" s="73"/>
      <c r="S61" s="74"/>
      <c r="T61" s="74"/>
      <c r="U61" s="74"/>
      <c r="V61" s="52"/>
      <c r="W61" s="52"/>
      <c r="X61" s="52"/>
      <c r="Y61" s="52"/>
      <c r="Z61" s="22"/>
      <c r="AA61" s="52"/>
      <c r="AB61" s="22"/>
      <c r="AC61" s="52"/>
      <c r="AD61" s="52"/>
      <c r="AE61" s="22"/>
      <c r="AF61" s="22"/>
      <c r="AG61" s="22"/>
      <c r="AH61" s="22"/>
      <c r="AI61" s="22"/>
      <c r="AJ61" s="5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77"/>
      <c r="AW61" s="77"/>
      <c r="AX61" s="78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40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19"/>
      <c r="CX61" s="19"/>
      <c r="CY61" s="19"/>
      <c r="CZ61" s="19"/>
      <c r="DA61" s="21"/>
      <c r="DB61" s="21"/>
      <c r="DC61" s="79"/>
      <c r="DD61" s="79"/>
      <c r="DE61" s="79"/>
      <c r="DF61" s="79"/>
      <c r="DG61" s="79"/>
      <c r="DH61" s="51"/>
      <c r="DI61" s="39"/>
      <c r="DJ61" s="80"/>
      <c r="DK61" s="39"/>
      <c r="DL61" s="39"/>
      <c r="DM61" s="48"/>
      <c r="DN61" s="39"/>
      <c r="DO61" s="39"/>
      <c r="DP61" s="39"/>
      <c r="DQ61" s="39"/>
      <c r="DR61" s="39"/>
      <c r="DS61" s="39"/>
      <c r="DT61" s="39"/>
      <c r="DU61" s="19"/>
      <c r="DV61" s="40"/>
      <c r="DW61" s="40"/>
      <c r="DX61" s="21"/>
      <c r="DY61" s="21"/>
      <c r="DZ61" s="19"/>
      <c r="EA61" s="19"/>
      <c r="EB61" s="19"/>
      <c r="EC61" s="48"/>
      <c r="ED61" s="48"/>
      <c r="EE61" s="22"/>
      <c r="EF61" s="22"/>
      <c r="EG61" s="22"/>
      <c r="EH61" s="22"/>
      <c r="EI61" s="22"/>
      <c r="EJ61" s="22"/>
      <c r="EK61" s="40"/>
      <c r="EL61" s="19"/>
      <c r="EM61" s="19"/>
      <c r="EN61" s="40"/>
      <c r="EO61" s="40"/>
      <c r="EP61" s="40"/>
      <c r="EQ61" s="21"/>
      <c r="ER61" s="21"/>
      <c r="ES61" s="19"/>
      <c r="ET61" s="19"/>
      <c r="EU61" s="19"/>
      <c r="EV61" s="21"/>
      <c r="EW61" s="166"/>
      <c r="EX61" s="39"/>
      <c r="EY61" s="39"/>
      <c r="EZ61" s="39"/>
      <c r="FA61" s="39"/>
      <c r="FB61" s="39"/>
      <c r="FC61" s="39"/>
      <c r="FD61" s="39"/>
      <c r="FE61" s="39"/>
      <c r="FF61" s="39"/>
      <c r="FG61" s="39"/>
      <c r="FH61" s="39"/>
      <c r="FI61" s="39"/>
      <c r="FJ61" s="19"/>
      <c r="FK61" s="19"/>
      <c r="FL61" s="19"/>
      <c r="FM61" s="19"/>
      <c r="FN61" s="19"/>
      <c r="FO61" s="22">
        <v>182.16</v>
      </c>
      <c r="FP61" s="22">
        <v>189.45</v>
      </c>
      <c r="FQ61" s="22"/>
      <c r="FR61" s="22">
        <v>139.38</v>
      </c>
      <c r="FS61" s="22">
        <v>143.13999999999999</v>
      </c>
      <c r="FT61" s="22"/>
      <c r="FU61" s="242" t="s">
        <v>654</v>
      </c>
      <c r="FV61" s="19"/>
      <c r="FW61" s="19"/>
      <c r="FX61" s="19"/>
      <c r="FY61" s="19"/>
      <c r="FZ61" s="19"/>
      <c r="GA61" s="19"/>
      <c r="GB61" s="19"/>
      <c r="GC61" s="20"/>
      <c r="GD61" s="20"/>
      <c r="GE61" s="19"/>
      <c r="GF61" s="19"/>
      <c r="GG61" s="19"/>
      <c r="GH61" s="19"/>
      <c r="GI61" s="19"/>
      <c r="GJ61" s="21"/>
      <c r="GK61" s="19"/>
      <c r="GL61" s="19"/>
      <c r="GM61" s="19"/>
      <c r="GN61" s="19"/>
      <c r="GO61" s="22">
        <v>188.08</v>
      </c>
      <c r="GP61" s="22">
        <v>194.75</v>
      </c>
      <c r="GQ61" s="22"/>
      <c r="GR61" s="22">
        <v>142.53</v>
      </c>
      <c r="GS61" s="22">
        <v>148.22999999999999</v>
      </c>
      <c r="GT61" s="22"/>
      <c r="GU61" s="242" t="s">
        <v>654</v>
      </c>
      <c r="GV61" s="19"/>
      <c r="GW61" s="19"/>
      <c r="GX61" s="19"/>
      <c r="GY61" s="19"/>
      <c r="GZ61" s="23"/>
      <c r="HA61" s="22" t="s">
        <v>633</v>
      </c>
      <c r="HB61" s="22" t="s">
        <v>633</v>
      </c>
      <c r="HC61" s="22"/>
      <c r="HD61" s="22" t="s">
        <v>633</v>
      </c>
      <c r="HE61" s="22" t="s">
        <v>633</v>
      </c>
      <c r="HF61" s="22"/>
      <c r="HG61" s="233" t="s">
        <v>633</v>
      </c>
    </row>
    <row r="62" spans="2:215" ht="15.75">
      <c r="B62" s="10"/>
      <c r="C62" s="184" t="s">
        <v>208</v>
      </c>
      <c r="D62" s="76"/>
      <c r="E62" s="73"/>
      <c r="F62" s="74"/>
      <c r="G62" s="74"/>
      <c r="H62" s="74"/>
      <c r="I62" s="73"/>
      <c r="J62" s="73"/>
      <c r="K62" s="73"/>
      <c r="L62" s="73"/>
      <c r="M62" s="76"/>
      <c r="N62" s="73"/>
      <c r="O62" s="76"/>
      <c r="P62" s="76"/>
      <c r="Q62" s="76"/>
      <c r="R62" s="73"/>
      <c r="S62" s="74"/>
      <c r="T62" s="74"/>
      <c r="U62" s="74"/>
      <c r="V62" s="52"/>
      <c r="W62" s="52"/>
      <c r="X62" s="52"/>
      <c r="Y62" s="52"/>
      <c r="Z62" s="22"/>
      <c r="AA62" s="52"/>
      <c r="AB62" s="22"/>
      <c r="AC62" s="52"/>
      <c r="AD62" s="52"/>
      <c r="AE62" s="22"/>
      <c r="AF62" s="22"/>
      <c r="AG62" s="22"/>
      <c r="AH62" s="22"/>
      <c r="AI62" s="22"/>
      <c r="AJ62" s="5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77"/>
      <c r="AW62" s="77"/>
      <c r="AX62" s="78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40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19"/>
      <c r="CX62" s="19"/>
      <c r="CY62" s="19"/>
      <c r="CZ62" s="19"/>
      <c r="DA62" s="21"/>
      <c r="DB62" s="21"/>
      <c r="DC62" s="79"/>
      <c r="DD62" s="79"/>
      <c r="DE62" s="79"/>
      <c r="DF62" s="79"/>
      <c r="DG62" s="79"/>
      <c r="DH62" s="51"/>
      <c r="DI62" s="39"/>
      <c r="DJ62" s="80"/>
      <c r="DK62" s="39"/>
      <c r="DL62" s="39"/>
      <c r="DM62" s="48"/>
      <c r="DN62" s="39"/>
      <c r="DO62" s="39"/>
      <c r="DP62" s="39"/>
      <c r="DQ62" s="39"/>
      <c r="DR62" s="39"/>
      <c r="DS62" s="39"/>
      <c r="DT62" s="39"/>
      <c r="DU62" s="19"/>
      <c r="DV62" s="40"/>
      <c r="DW62" s="40"/>
      <c r="DX62" s="21"/>
      <c r="DY62" s="21"/>
      <c r="DZ62" s="19"/>
      <c r="EA62" s="19"/>
      <c r="EB62" s="19"/>
      <c r="EC62" s="48"/>
      <c r="ED62" s="48"/>
      <c r="EE62" s="22"/>
      <c r="EF62" s="22"/>
      <c r="EG62" s="22"/>
      <c r="EH62" s="22"/>
      <c r="EI62" s="22"/>
      <c r="EJ62" s="22"/>
      <c r="EK62" s="40"/>
      <c r="EL62" s="19"/>
      <c r="EM62" s="19"/>
      <c r="EN62" s="40"/>
      <c r="EO62" s="40"/>
      <c r="EP62" s="40"/>
      <c r="EQ62" s="21"/>
      <c r="ER62" s="21"/>
      <c r="ES62" s="19"/>
      <c r="ET62" s="19"/>
      <c r="EU62" s="19"/>
      <c r="EV62" s="21"/>
      <c r="EW62" s="166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19"/>
      <c r="FK62" s="19"/>
      <c r="FL62" s="19"/>
      <c r="FM62" s="19"/>
      <c r="FN62" s="19"/>
      <c r="FO62" s="22">
        <v>182.16</v>
      </c>
      <c r="FP62" s="22">
        <v>189.45</v>
      </c>
      <c r="FQ62" s="22"/>
      <c r="FR62" s="22">
        <v>97</v>
      </c>
      <c r="FS62" s="22">
        <v>99.62</v>
      </c>
      <c r="FT62" s="22"/>
      <c r="FU62" s="242"/>
      <c r="FV62" s="19"/>
      <c r="FW62" s="19"/>
      <c r="FX62" s="19"/>
      <c r="FY62" s="19"/>
      <c r="FZ62" s="19"/>
      <c r="GA62" s="19"/>
      <c r="GB62" s="19"/>
      <c r="GC62" s="20"/>
      <c r="GD62" s="20"/>
      <c r="GE62" s="19"/>
      <c r="GF62" s="19"/>
      <c r="GG62" s="19"/>
      <c r="GH62" s="19"/>
      <c r="GI62" s="19"/>
      <c r="GJ62" s="21"/>
      <c r="GK62" s="19"/>
      <c r="GL62" s="19"/>
      <c r="GM62" s="19"/>
      <c r="GN62" s="19"/>
      <c r="GO62" s="22">
        <v>188.08</v>
      </c>
      <c r="GP62" s="22">
        <v>194.75</v>
      </c>
      <c r="GQ62" s="22"/>
      <c r="GR62" s="22">
        <v>99.62</v>
      </c>
      <c r="GS62" s="22">
        <v>103.17</v>
      </c>
      <c r="GT62" s="22"/>
      <c r="GU62" s="242"/>
      <c r="GV62" s="19"/>
      <c r="GW62" s="19"/>
      <c r="GX62" s="19"/>
      <c r="GY62" s="19"/>
      <c r="GZ62" s="23"/>
      <c r="HA62" s="22" t="s">
        <v>633</v>
      </c>
      <c r="HB62" s="22" t="s">
        <v>633</v>
      </c>
      <c r="HC62" s="22"/>
      <c r="HD62" s="22" t="s">
        <v>633</v>
      </c>
      <c r="HE62" s="22" t="s">
        <v>633</v>
      </c>
      <c r="HF62" s="22"/>
      <c r="HG62" s="233" t="s">
        <v>633</v>
      </c>
    </row>
    <row r="63" spans="2:215" ht="15.75">
      <c r="B63" s="15"/>
      <c r="C63" s="186" t="s">
        <v>636</v>
      </c>
      <c r="D63" s="76"/>
      <c r="E63" s="73"/>
      <c r="F63" s="74"/>
      <c r="G63" s="74"/>
      <c r="H63" s="74"/>
      <c r="I63" s="73"/>
      <c r="J63" s="73"/>
      <c r="K63" s="73"/>
      <c r="L63" s="73"/>
      <c r="M63" s="76"/>
      <c r="N63" s="73"/>
      <c r="O63" s="76"/>
      <c r="P63" s="76"/>
      <c r="Q63" s="76"/>
      <c r="R63" s="73"/>
      <c r="S63" s="74"/>
      <c r="T63" s="74"/>
      <c r="U63" s="74"/>
      <c r="V63" s="52"/>
      <c r="W63" s="52"/>
      <c r="X63" s="52"/>
      <c r="Y63" s="52"/>
      <c r="Z63" s="22"/>
      <c r="AA63" s="52"/>
      <c r="AB63" s="22"/>
      <c r="AC63" s="52"/>
      <c r="AD63" s="52"/>
      <c r="AE63" s="22"/>
      <c r="AF63" s="22"/>
      <c r="AG63" s="22"/>
      <c r="AH63" s="22"/>
      <c r="AI63" s="22"/>
      <c r="AJ63" s="5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77"/>
      <c r="AW63" s="77"/>
      <c r="AX63" s="78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40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19"/>
      <c r="CX63" s="19"/>
      <c r="CY63" s="19"/>
      <c r="CZ63" s="19"/>
      <c r="DA63" s="21"/>
      <c r="DB63" s="21"/>
      <c r="DC63" s="79"/>
      <c r="DD63" s="79"/>
      <c r="DE63" s="79"/>
      <c r="DF63" s="79"/>
      <c r="DG63" s="79"/>
      <c r="DH63" s="51"/>
      <c r="DI63" s="39"/>
      <c r="DJ63" s="80"/>
      <c r="DK63" s="39"/>
      <c r="DL63" s="39"/>
      <c r="DM63" s="48"/>
      <c r="DN63" s="39"/>
      <c r="DO63" s="39"/>
      <c r="DP63" s="39"/>
      <c r="DQ63" s="39"/>
      <c r="DR63" s="39"/>
      <c r="DS63" s="39"/>
      <c r="DT63" s="39"/>
      <c r="DU63" s="19"/>
      <c r="DV63" s="40"/>
      <c r="DW63" s="40"/>
      <c r="DX63" s="21"/>
      <c r="DY63" s="21"/>
      <c r="DZ63" s="19"/>
      <c r="EA63" s="19"/>
      <c r="EB63" s="19"/>
      <c r="EC63" s="48"/>
      <c r="ED63" s="48"/>
      <c r="EE63" s="22"/>
      <c r="EF63" s="22"/>
      <c r="EG63" s="22"/>
      <c r="EH63" s="22"/>
      <c r="EI63" s="22"/>
      <c r="EJ63" s="22"/>
      <c r="EK63" s="40"/>
      <c r="EL63" s="19"/>
      <c r="EM63" s="19"/>
      <c r="EN63" s="40"/>
      <c r="EO63" s="40"/>
      <c r="EP63" s="40"/>
      <c r="EQ63" s="21"/>
      <c r="ER63" s="21"/>
      <c r="ES63" s="19"/>
      <c r="ET63" s="19"/>
      <c r="EU63" s="19"/>
      <c r="EV63" s="21"/>
      <c r="EW63" s="166"/>
      <c r="EX63" s="39"/>
      <c r="EY63" s="39"/>
      <c r="EZ63" s="39"/>
      <c r="FA63" s="39"/>
      <c r="FB63" s="39"/>
      <c r="FC63" s="39"/>
      <c r="FD63" s="39"/>
      <c r="FE63" s="39"/>
      <c r="FF63" s="39"/>
      <c r="FG63" s="39"/>
      <c r="FH63" s="39"/>
      <c r="FI63" s="39"/>
      <c r="FJ63" s="19"/>
      <c r="FK63" s="19"/>
      <c r="FL63" s="19"/>
      <c r="FM63" s="19"/>
      <c r="FN63" s="19"/>
      <c r="FO63" s="22"/>
      <c r="FP63" s="22"/>
      <c r="FQ63" s="22"/>
      <c r="FR63" s="22"/>
      <c r="FS63" s="22"/>
      <c r="FT63" s="22"/>
      <c r="FU63" s="40"/>
      <c r="FV63" s="19"/>
      <c r="FW63" s="19"/>
      <c r="FX63" s="19"/>
      <c r="FY63" s="19"/>
      <c r="FZ63" s="19"/>
      <c r="GA63" s="19"/>
      <c r="GB63" s="19"/>
      <c r="GC63" s="20"/>
      <c r="GD63" s="20"/>
      <c r="GE63" s="19"/>
      <c r="GF63" s="19"/>
      <c r="GG63" s="19"/>
      <c r="GH63" s="19"/>
      <c r="GI63" s="19"/>
      <c r="GJ63" s="21"/>
      <c r="GK63" s="19"/>
      <c r="GL63" s="19"/>
      <c r="GM63" s="19"/>
      <c r="GN63" s="19"/>
      <c r="GO63" s="22"/>
      <c r="GP63" s="22"/>
      <c r="GQ63" s="22"/>
      <c r="GR63" s="22"/>
      <c r="GS63" s="22"/>
      <c r="GT63" s="22"/>
      <c r="GU63" s="43"/>
      <c r="GV63" s="19"/>
      <c r="GW63" s="19"/>
      <c r="GX63" s="19"/>
      <c r="GY63" s="19"/>
      <c r="GZ63" s="23"/>
      <c r="HA63" s="22"/>
      <c r="HB63" s="22"/>
      <c r="HC63" s="22"/>
      <c r="HD63" s="22"/>
      <c r="HE63" s="22"/>
      <c r="HF63" s="22"/>
      <c r="HG63" s="233"/>
    </row>
    <row r="64" spans="2:215" ht="16.149999999999999" customHeight="1" thickBot="1">
      <c r="B64" s="15"/>
      <c r="C64" s="184" t="s">
        <v>637</v>
      </c>
      <c r="D64" s="173"/>
      <c r="E64" s="173"/>
      <c r="F64" s="74"/>
      <c r="G64" s="74"/>
      <c r="H64" s="74"/>
      <c r="I64" s="173"/>
      <c r="J64" s="173"/>
      <c r="K64" s="173"/>
      <c r="L64" s="173"/>
      <c r="M64" s="173"/>
      <c r="N64" s="173"/>
      <c r="O64" s="76"/>
      <c r="P64" s="76"/>
      <c r="Q64" s="76"/>
      <c r="R64" s="173"/>
      <c r="S64" s="173"/>
      <c r="T64" s="173"/>
      <c r="U64" s="173"/>
      <c r="V64" s="52"/>
      <c r="W64" s="52"/>
      <c r="X64" s="52"/>
      <c r="Y64" s="52"/>
      <c r="Z64" s="22"/>
      <c r="AA64" s="52"/>
      <c r="AB64" s="22"/>
      <c r="AC64" s="22"/>
      <c r="AD64" s="22"/>
      <c r="AE64" s="22"/>
      <c r="AF64" s="22"/>
      <c r="AG64" s="22"/>
      <c r="AH64" s="22"/>
      <c r="AI64" s="22"/>
      <c r="AJ64" s="5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77"/>
      <c r="AW64" s="77"/>
      <c r="AX64" s="78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40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19"/>
      <c r="CX64" s="19"/>
      <c r="CY64" s="19"/>
      <c r="CZ64" s="19"/>
      <c r="DA64" s="21"/>
      <c r="DB64" s="21"/>
      <c r="DC64" s="79"/>
      <c r="DD64" s="79"/>
      <c r="DE64" s="79"/>
      <c r="DF64" s="79"/>
      <c r="DG64" s="79"/>
      <c r="DH64" s="51"/>
      <c r="DI64" s="39"/>
      <c r="DJ64" s="80"/>
      <c r="DK64" s="39"/>
      <c r="DL64" s="39"/>
      <c r="DM64" s="48"/>
      <c r="DN64" s="39"/>
      <c r="DO64" s="39"/>
      <c r="DP64" s="39"/>
      <c r="DQ64" s="39"/>
      <c r="DR64" s="39"/>
      <c r="DS64" s="39"/>
      <c r="DT64" s="39"/>
      <c r="DU64" s="19"/>
      <c r="DV64" s="40"/>
      <c r="DW64" s="40"/>
      <c r="DX64" s="21"/>
      <c r="DY64" s="21"/>
      <c r="DZ64" s="19"/>
      <c r="EA64" s="19"/>
      <c r="EB64" s="19"/>
      <c r="EC64" s="48"/>
      <c r="ED64" s="48"/>
      <c r="EE64" s="22"/>
      <c r="EF64" s="22"/>
      <c r="EG64" s="22"/>
      <c r="EH64" s="22"/>
      <c r="EI64" s="22"/>
      <c r="EJ64" s="22"/>
      <c r="EK64" s="83"/>
      <c r="EL64" s="19"/>
      <c r="EM64" s="19"/>
      <c r="EN64" s="146"/>
      <c r="EO64" s="146"/>
      <c r="EP64" s="146"/>
      <c r="EQ64" s="21"/>
      <c r="ER64" s="21"/>
      <c r="ES64" s="19"/>
      <c r="ET64" s="19"/>
      <c r="EU64" s="19"/>
      <c r="EV64" s="21"/>
      <c r="EW64" s="39"/>
      <c r="EX64" s="39"/>
      <c r="EY64" s="39"/>
      <c r="EZ64" s="39"/>
      <c r="FA64" s="39"/>
      <c r="FB64" s="39"/>
      <c r="FC64" s="39"/>
      <c r="FD64" s="39"/>
      <c r="FE64" s="39"/>
      <c r="FF64" s="39"/>
      <c r="FG64" s="39"/>
      <c r="FH64" s="39"/>
      <c r="FI64" s="39"/>
      <c r="FJ64" s="19"/>
      <c r="FK64" s="19"/>
      <c r="FL64" s="19"/>
      <c r="FM64" s="19"/>
      <c r="FN64" s="19"/>
      <c r="FO64" s="22">
        <v>305.55</v>
      </c>
      <c r="FP64" s="22">
        <v>312.07</v>
      </c>
      <c r="FQ64" s="22"/>
      <c r="FR64" s="22">
        <v>305.55</v>
      </c>
      <c r="FS64" s="22">
        <v>312.07</v>
      </c>
      <c r="FT64" s="22"/>
      <c r="FU64" s="83" t="s">
        <v>626</v>
      </c>
      <c r="FV64" s="19"/>
      <c r="FW64" s="19"/>
      <c r="FX64" s="19"/>
      <c r="FY64" s="19"/>
      <c r="FZ64" s="19"/>
      <c r="GA64" s="19"/>
      <c r="GB64" s="19"/>
      <c r="GC64" s="20"/>
      <c r="GD64" s="20"/>
      <c r="GE64" s="21"/>
      <c r="GF64" s="21"/>
      <c r="GG64" s="19"/>
      <c r="GH64" s="19"/>
      <c r="GI64" s="19"/>
      <c r="GJ64" s="21"/>
      <c r="GK64" s="19"/>
      <c r="GL64" s="19"/>
      <c r="GM64" s="19"/>
      <c r="GN64" s="19"/>
      <c r="GO64" s="57">
        <v>312.07</v>
      </c>
      <c r="GP64" s="57">
        <v>345.14</v>
      </c>
      <c r="GQ64" s="57"/>
      <c r="GR64" s="57">
        <v>312.07</v>
      </c>
      <c r="GS64" s="57">
        <v>345.14</v>
      </c>
      <c r="GT64" s="57"/>
      <c r="GU64" s="83" t="s">
        <v>626</v>
      </c>
      <c r="GV64" s="19"/>
      <c r="GW64" s="19"/>
      <c r="GX64" s="19"/>
      <c r="GY64" s="19"/>
      <c r="GZ64" s="23"/>
      <c r="HA64" s="22">
        <v>345.14</v>
      </c>
      <c r="HB64" s="22">
        <v>361.22</v>
      </c>
      <c r="HC64" s="22"/>
      <c r="HD64" s="22">
        <v>345.14</v>
      </c>
      <c r="HE64" s="22">
        <v>361.22</v>
      </c>
      <c r="HF64" s="22"/>
      <c r="HG64" s="235" t="s">
        <v>626</v>
      </c>
    </row>
    <row r="65" spans="2:215" ht="16.5" thickBot="1">
      <c r="B65" s="7" t="s">
        <v>210</v>
      </c>
      <c r="C65" s="80" t="s">
        <v>211</v>
      </c>
      <c r="D65" s="80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>
        <f t="shared" ref="X65" si="362">+IF(V65=0,,W65/V65*100)</f>
        <v>0</v>
      </c>
      <c r="Y65" s="128"/>
      <c r="Z65" s="128">
        <f t="shared" ref="Z65" si="363">+IF(W65=0,,Y65/W65*100)</f>
        <v>0</v>
      </c>
      <c r="AA65" s="128"/>
      <c r="AB65" s="128">
        <f t="shared" ref="AB65" si="364">+IF(Y65=0,,AA65/Y65*100)</f>
        <v>0</v>
      </c>
      <c r="AC65" s="128"/>
      <c r="AD65" s="128"/>
      <c r="AE65" s="128">
        <f t="shared" ref="AE65" si="365">+IF(AC65=0,,AF65/AC65*100)</f>
        <v>0</v>
      </c>
      <c r="AF65" s="128"/>
      <c r="AG65" s="128">
        <f>+IF(AC65=0,,AF65/AC65*100)</f>
        <v>0</v>
      </c>
      <c r="AH65" s="128"/>
      <c r="AI65" s="128"/>
      <c r="AJ65" s="128">
        <f t="shared" ref="AJ65" si="366">+IF(AH65=0,,AI65/AH65*100)</f>
        <v>0</v>
      </c>
      <c r="AK65" s="128"/>
      <c r="AL65" s="128">
        <f t="shared" ref="AL65" si="367">+IF(AI65=0,,AK65/AI65*100)</f>
        <v>0</v>
      </c>
      <c r="AM65" s="128"/>
      <c r="AN65" s="128">
        <f t="shared" ref="AN65" si="368">+IF(AK65=0,,AM65/AK65*100)</f>
        <v>0</v>
      </c>
      <c r="AO65" s="128">
        <f t="shared" ref="AO65" si="369">+IF(V65=0,,AA65/V65*100)</f>
        <v>0</v>
      </c>
      <c r="AP65" s="128">
        <f t="shared" ref="AP65" si="370">+IF(AH65=0,,AM65/AH65*100)</f>
        <v>0</v>
      </c>
      <c r="AQ65" s="128"/>
      <c r="AR65" s="128"/>
      <c r="AS65" s="128">
        <f t="shared" ref="AS65" si="371">+IF(AQ65=0,,AT65/AQ65*100)</f>
        <v>0</v>
      </c>
      <c r="AT65" s="128"/>
      <c r="AU65" s="128">
        <f>+IF(AQ65=0,,AT65/AQ65*100)</f>
        <v>0</v>
      </c>
      <c r="AV65" s="77"/>
      <c r="AW65" s="77">
        <f>+CY65/$CY$65*100</f>
        <v>100</v>
      </c>
      <c r="AX65" s="78"/>
      <c r="AY65" s="128">
        <f t="shared" si="217"/>
        <v>0</v>
      </c>
      <c r="AZ65" s="128"/>
      <c r="BA65" s="128"/>
      <c r="BB65" s="128"/>
      <c r="BC65" s="128"/>
      <c r="BD65" s="128"/>
      <c r="BE65" s="22">
        <f t="shared" si="218"/>
        <v>0</v>
      </c>
      <c r="BF65" s="128"/>
      <c r="BG65" s="128"/>
      <c r="BH65" s="22">
        <f t="shared" si="219"/>
        <v>0</v>
      </c>
      <c r="BI65" s="22"/>
      <c r="BJ65" s="40"/>
      <c r="BK65" s="128">
        <f t="shared" si="353"/>
        <v>0</v>
      </c>
      <c r="BL65" s="128">
        <f t="shared" ref="BL65" si="372">+E65*AI65/1.18/1000</f>
        <v>0</v>
      </c>
      <c r="BM65" s="128">
        <f t="shared" ref="BM65" si="373">+(W65-ROUND(AI65/1.18,2))*E65/1000</f>
        <v>0</v>
      </c>
      <c r="BN65" s="128">
        <f t="shared" ref="BN65" si="374">+W65*I65/1000</f>
        <v>0</v>
      </c>
      <c r="BO65" s="128">
        <f t="shared" si="354"/>
        <v>0</v>
      </c>
      <c r="BP65" s="128">
        <f t="shared" ref="BP65" si="375">+AK65/1.18*E65/1000</f>
        <v>0</v>
      </c>
      <c r="BQ65" s="128">
        <f t="shared" ref="BQ65" si="376">+(Y65-ROUND(AK65/1.18,2))*E65/1000</f>
        <v>0</v>
      </c>
      <c r="BR65" s="128">
        <f t="shared" ref="BR65" si="377">+Y65*I65/1000</f>
        <v>0</v>
      </c>
      <c r="BS65" s="128">
        <f t="shared" si="355"/>
        <v>0</v>
      </c>
      <c r="BT65" s="128">
        <f t="shared" ref="BT65" si="378">+AM65/1.18*E65/1000</f>
        <v>0</v>
      </c>
      <c r="BU65" s="128">
        <f t="shared" ref="BU65" si="379">+(AA65-ROUND(AM65/1.18,2))*E65/1000</f>
        <v>0</v>
      </c>
      <c r="BV65" s="128">
        <f t="shared" ref="BV65" si="380">+AA65*I65/1000</f>
        <v>0</v>
      </c>
      <c r="BW65" s="128"/>
      <c r="BX65" s="128">
        <f>+SUM(BX66:BX73)</f>
        <v>1483.3602983050846</v>
      </c>
      <c r="BY65" s="128">
        <f>+SUM(BY66:BY73)</f>
        <v>1930.2224319999998</v>
      </c>
      <c r="BZ65" s="128">
        <f>+AC65*R65/1000</f>
        <v>0</v>
      </c>
      <c r="CA65" s="128"/>
      <c r="CB65" s="128">
        <f>+SUM(CB66:CB73)</f>
        <v>1656.9114542372881</v>
      </c>
      <c r="CC65" s="128">
        <f>+SUM(CC66:CC73)</f>
        <v>1756.6767419999999</v>
      </c>
      <c r="CD65" s="128">
        <f t="shared" ref="CD65" si="381">+AF65*R65/1000</f>
        <v>0</v>
      </c>
      <c r="CE65" s="128">
        <f t="shared" ref="CE65" si="382">+IF(R65=0,,BN65/R65*1000)</f>
        <v>0</v>
      </c>
      <c r="CF65" s="128">
        <f t="shared" ref="CF65" si="383">+IF(I65=0,,BR65/I65*1000)</f>
        <v>0</v>
      </c>
      <c r="CG65" s="128">
        <f t="shared" ref="CG65" si="384">+IF(I65=0,,BV65/I65*1000)</f>
        <v>0</v>
      </c>
      <c r="CH65" s="128">
        <f t="shared" ref="CH65" si="385">+IF(E65=0,,BL65/E65*1000*1.18)</f>
        <v>0</v>
      </c>
      <c r="CI65" s="128">
        <f t="shared" ref="CI65" si="386">+IF(E65=0,,BP65/E65*1.18*1000)</f>
        <v>0</v>
      </c>
      <c r="CJ65" s="128">
        <f t="shared" ref="CJ65" si="387">+IF(E65=0,,BT65/E65*1.18*1000)</f>
        <v>0</v>
      </c>
      <c r="CK65" s="128">
        <f t="shared" ref="CK65" si="388">+IF(D65=0,,BK65/D65*1000)</f>
        <v>0</v>
      </c>
      <c r="CL65" s="128">
        <f t="shared" ref="CL65" si="389">+IF(D65=0,,BO65/D65*1000)</f>
        <v>0</v>
      </c>
      <c r="CM65" s="128">
        <f t="shared" ref="CM65" si="390">+IF(D65=0,,BS65/D65*1000)</f>
        <v>0</v>
      </c>
      <c r="CN65" s="128">
        <f t="shared" ref="CN65" si="391">+IF((D65+D65+D65)=0,,(BK65+BO65+BS65)/(D65+D65+D65))*1000</f>
        <v>0</v>
      </c>
      <c r="CO65" s="128">
        <f t="shared" ref="CO65" si="392">+IF(R65=0,,BZ65/R65*1000)</f>
        <v>0</v>
      </c>
      <c r="CP65" s="128">
        <f t="shared" ref="CP65" si="393">+IF(R65=0,,CD65/R65*1000)</f>
        <v>0</v>
      </c>
      <c r="CQ65" s="128">
        <f t="shared" ref="CQ65" si="394">+IF(N65=0,,BX65/N65*1.18*1000)</f>
        <v>0</v>
      </c>
      <c r="CR65" s="128">
        <f t="shared" ref="CR65" si="395">+IF(N65=0,,CB65/N65*1.18*1000)</f>
        <v>0</v>
      </c>
      <c r="CS65" s="128">
        <f t="shared" ref="CS65" si="396">+IF(M65=0,,BW65/M65*1000)</f>
        <v>0</v>
      </c>
      <c r="CT65" s="128">
        <f t="shared" ref="CT65" si="397">+IF(M65=0,,CA65/M65*1000)</f>
        <v>0</v>
      </c>
      <c r="CU65" s="128">
        <f t="shared" ref="CU65" si="398">+IF((M65+M65)=0,,(CA65+BW65)/(M65+M65))*1000</f>
        <v>0</v>
      </c>
      <c r="CV65" s="128">
        <f t="shared" si="329"/>
        <v>0</v>
      </c>
      <c r="CW65" s="128">
        <f>+SUM(CW66:CW73)</f>
        <v>513.96003389830514</v>
      </c>
      <c r="CX65" s="128">
        <f>+SUM(CX66:CX73)</f>
        <v>1182.7510150000001</v>
      </c>
      <c r="CY65" s="128">
        <f>+SUM(CY66:CY73)</f>
        <v>1566.9394761016952</v>
      </c>
      <c r="CZ65" s="128">
        <f>+SUM(CZ66:CZ73)</f>
        <v>3413.5842919999996</v>
      </c>
      <c r="DA65" s="20">
        <f>+IF(CX65=0,,CW65/CX65*100)</f>
        <v>43.45462632287871</v>
      </c>
      <c r="DB65" s="20">
        <f>+IF(CZ65=0,,CY65/CZ65*100)</f>
        <v>45.903055031450073</v>
      </c>
      <c r="DC65" s="20">
        <f t="shared" si="336"/>
        <v>304.87574378433828</v>
      </c>
      <c r="DD65" s="20">
        <f t="shared" si="336"/>
        <v>288.61393891934216</v>
      </c>
      <c r="DE65" s="79">
        <f t="shared" ref="DE65:DF65" si="399">+(O65+S65)*AC65/1000</f>
        <v>0</v>
      </c>
      <c r="DF65" s="79">
        <f t="shared" si="399"/>
        <v>0</v>
      </c>
      <c r="DG65" s="128">
        <f>+SUM(DG66:DG73)</f>
        <v>4951.8459957999994</v>
      </c>
      <c r="DH65" s="51">
        <f t="shared" si="339"/>
        <v>4951.8459957999994</v>
      </c>
      <c r="DI65" s="39"/>
      <c r="DJ65" s="80">
        <f t="shared" ref="DJ65" si="400">+(F65+J65)*W65/1000</f>
        <v>0</v>
      </c>
      <c r="DK65" s="39">
        <f t="shared" ref="DK65" si="401">+Y65*(G65+K65)/1000</f>
        <v>0</v>
      </c>
      <c r="DL65" s="39">
        <f t="shared" ref="DL65" si="402">+(H65+L65)*AA65/1000</f>
        <v>0</v>
      </c>
      <c r="DM65" s="48">
        <f>+AT65-'[2]тарифы (12-13) население 15%'!AP106</f>
        <v>0</v>
      </c>
      <c r="DN65" s="39"/>
      <c r="DO65" s="39"/>
      <c r="DP65" s="39"/>
      <c r="DQ65" s="39"/>
      <c r="DR65" s="39"/>
      <c r="DS65" s="39"/>
      <c r="DT65" s="39"/>
      <c r="DU65" s="19">
        <f t="shared" si="251"/>
        <v>0</v>
      </c>
      <c r="DV65" s="42">
        <f>+SUM(DV66:DV73)</f>
        <v>5404.2911106610172</v>
      </c>
      <c r="DW65" s="42">
        <f>+SUM(DW66:DW73)</f>
        <v>11548.386250540001</v>
      </c>
      <c r="DX65" s="42">
        <f>+'[1]тарифы (НВВ) население на 4,2%'!CO110</f>
        <v>92.612937055614168</v>
      </c>
      <c r="DY65" s="42">
        <f t="shared" ref="DY65:DY94" si="403">+IF(DW65=0,,DV65/DW65*100)</f>
        <v>46.796937627612806</v>
      </c>
      <c r="DZ65" s="19">
        <f t="shared" si="253"/>
        <v>0</v>
      </c>
      <c r="EA65" s="19">
        <f t="shared" si="254"/>
        <v>0</v>
      </c>
      <c r="EB65" s="19"/>
      <c r="EC65" s="22">
        <f>+SUM(EC66:EC73)</f>
        <v>6285.6275899467801</v>
      </c>
      <c r="ED65" s="42">
        <f>+SUM(ED66:ED73)</f>
        <v>6144.0951398789839</v>
      </c>
      <c r="EE65" s="128"/>
      <c r="EF65" s="128"/>
      <c r="EG65" s="22">
        <f t="shared" ref="EG65:EG96" si="404">+IF(EE65=0,,EF65/EE65*100)</f>
        <v>0</v>
      </c>
      <c r="EH65" s="128"/>
      <c r="EI65" s="128"/>
      <c r="EJ65" s="22">
        <f t="shared" ref="EJ65:EJ94" si="405">+IF(EH65=0,,EI65/EH65*100)</f>
        <v>0</v>
      </c>
      <c r="EK65" s="40"/>
      <c r="EL65" s="40"/>
      <c r="EM65" s="40"/>
      <c r="EN65" s="146">
        <f>+SUM(EN66:EN73)</f>
        <v>5460.6876217796616</v>
      </c>
      <c r="EO65" s="146">
        <f>+SUM(EO66:EO73)</f>
        <v>11445.166261900002</v>
      </c>
      <c r="EP65" s="146" t="e">
        <f>+$EN$442/$EN$445*EN65</f>
        <v>#REF!</v>
      </c>
      <c r="EQ65" s="42">
        <f>+IF(EO65=0,,EN65/EO65*100)</f>
        <v>47.711736962335202</v>
      </c>
      <c r="ER65" s="42" t="e">
        <f>+IF((EN65+EP65)=0,,(EN65+EP65)/(EO65+EP65))*100</f>
        <v>#REF!</v>
      </c>
      <c r="ES65" s="42"/>
      <c r="ET65" s="42"/>
      <c r="EU65" s="19">
        <f t="shared" ref="EU65:EU96" si="406">+EF65*EL65</f>
        <v>0</v>
      </c>
      <c r="EV65" s="42"/>
      <c r="EW65" s="39"/>
      <c r="EX65" s="39">
        <f t="shared" ref="EX65:EX96" si="407">+BD65*AY65</f>
        <v>0</v>
      </c>
      <c r="EY65" s="39">
        <f t="shared" ref="EY65:EY86" si="408">+EF65*AY65</f>
        <v>0</v>
      </c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41">
        <f>+SUM(FJ66:FJ73)</f>
        <v>5543.1184569254237</v>
      </c>
      <c r="FK65" s="41">
        <f>+SUM(FK66:FK73)</f>
        <v>5550.711101137289</v>
      </c>
      <c r="FL65" s="41">
        <f>+SUM(FL66:FL73)</f>
        <v>11093.829558062713</v>
      </c>
      <c r="FM65" s="40"/>
      <c r="FN65" s="40"/>
      <c r="FO65" s="128">
        <f t="shared" ref="FO65:FO87" si="409">+EF65</f>
        <v>0</v>
      </c>
      <c r="FP65" s="128"/>
      <c r="FQ65" s="22"/>
      <c r="FR65" s="128">
        <f t="shared" si="261"/>
        <v>0</v>
      </c>
      <c r="FS65" s="128"/>
      <c r="FT65" s="22"/>
      <c r="FU65" s="40"/>
      <c r="FV65" s="41">
        <f t="shared" ref="FV65:GB65" si="410">+SUM(FV66:FV73)</f>
        <v>0</v>
      </c>
      <c r="FW65" s="41">
        <f t="shared" si="410"/>
        <v>0</v>
      </c>
      <c r="FX65" s="41">
        <f t="shared" si="410"/>
        <v>0</v>
      </c>
      <c r="FY65" s="41">
        <f t="shared" si="410"/>
        <v>0</v>
      </c>
      <c r="FZ65" s="41">
        <f t="shared" si="410"/>
        <v>0</v>
      </c>
      <c r="GA65" s="41">
        <f t="shared" si="410"/>
        <v>0</v>
      </c>
      <c r="GB65" s="41">
        <f t="shared" si="410"/>
        <v>0</v>
      </c>
      <c r="GC65" s="20">
        <f t="shared" ref="GC65:GC87" si="411">+IF(FZ65=0,,FY65/FZ65*100)</f>
        <v>0</v>
      </c>
      <c r="GD65" s="20">
        <f t="shared" ref="GD65:GD86" si="412">+IF(GB65=0,,GA65/GB65*100)</f>
        <v>0</v>
      </c>
      <c r="GE65" s="42"/>
      <c r="GF65" s="42"/>
      <c r="GG65" s="42"/>
      <c r="GH65" s="42"/>
      <c r="GI65" s="42"/>
      <c r="GJ65" s="42"/>
      <c r="GK65" s="42"/>
      <c r="GL65" s="42"/>
      <c r="GM65" s="40"/>
      <c r="GN65" s="40"/>
      <c r="GO65" s="128"/>
      <c r="GP65" s="128"/>
      <c r="GQ65" s="22"/>
      <c r="GR65" s="128"/>
      <c r="GS65" s="128"/>
      <c r="GT65" s="22"/>
      <c r="GU65" s="43"/>
      <c r="GV65" s="41"/>
      <c r="GW65" s="41"/>
      <c r="GX65" s="41">
        <f>+SUM(GX66:GX73)</f>
        <v>0</v>
      </c>
      <c r="GY65" s="41">
        <f>+SUM(GY66:GY73)</f>
        <v>0</v>
      </c>
      <c r="GZ65" s="44">
        <f t="shared" si="350"/>
        <v>0</v>
      </c>
      <c r="HA65" s="128"/>
      <c r="HB65" s="128"/>
      <c r="HC65" s="22"/>
      <c r="HD65" s="128"/>
      <c r="HE65" s="128"/>
      <c r="HF65" s="22"/>
      <c r="HG65" s="233"/>
    </row>
    <row r="66" spans="2:215" s="8" customFormat="1" ht="15.75">
      <c r="B66" s="10" t="s">
        <v>212</v>
      </c>
      <c r="C66" s="81" t="s">
        <v>152</v>
      </c>
      <c r="D66" s="82"/>
      <c r="E66" s="82"/>
      <c r="F66" s="40"/>
      <c r="G66" s="40"/>
      <c r="H66" s="40"/>
      <c r="I66" s="82"/>
      <c r="J66" s="75"/>
      <c r="K66" s="75"/>
      <c r="L66" s="75"/>
      <c r="M66" s="40"/>
      <c r="N66" s="40"/>
      <c r="O66" s="74"/>
      <c r="P66" s="74"/>
      <c r="Q66" s="74"/>
      <c r="R66" s="40"/>
      <c r="S66" s="74"/>
      <c r="T66" s="74"/>
      <c r="U66" s="74"/>
      <c r="V66" s="52"/>
      <c r="W66" s="52"/>
      <c r="X66" s="52"/>
      <c r="Y66" s="52"/>
      <c r="Z66" s="22"/>
      <c r="AA66" s="52"/>
      <c r="AB66" s="22"/>
      <c r="AC66" s="52"/>
      <c r="AD66" s="22"/>
      <c r="AE66" s="22"/>
      <c r="AF66" s="22"/>
      <c r="AG66" s="22">
        <f t="shared" ref="AG66:AG67" si="413">+IF(AD66=0,,AF66/AD66*100)</f>
        <v>0</v>
      </c>
      <c r="AH66" s="52"/>
      <c r="AI66" s="52"/>
      <c r="AJ66" s="52"/>
      <c r="AK66" s="52"/>
      <c r="AL66" s="22"/>
      <c r="AM66" s="52"/>
      <c r="AN66" s="22"/>
      <c r="AO66" s="22"/>
      <c r="AP66" s="22"/>
      <c r="AQ66" s="22"/>
      <c r="AR66" s="22"/>
      <c r="AS66" s="22"/>
      <c r="AT66" s="22"/>
      <c r="AU66" s="22">
        <f t="shared" ref="AU66:AU67" si="414">+IF(AR66=0,,AT66/AR66*100)</f>
        <v>0</v>
      </c>
      <c r="AV66" s="77"/>
      <c r="AW66" s="77"/>
      <c r="AX66" s="78"/>
      <c r="AY66" s="22">
        <f t="shared" ref="AY66:AY94" si="415">+AZ66+BA66+BB66</f>
        <v>0</v>
      </c>
      <c r="AZ66" s="22"/>
      <c r="BA66" s="22"/>
      <c r="BB66" s="22"/>
      <c r="BC66" s="22"/>
      <c r="BD66" s="22"/>
      <c r="BE66" s="22">
        <f t="shared" ref="BE66:BE101" si="416">+IF(BC66=0,,BD66/BC66*100)</f>
        <v>0</v>
      </c>
      <c r="BF66" s="22"/>
      <c r="BG66" s="22"/>
      <c r="BH66" s="22">
        <f t="shared" ref="BH66:BH101" si="417">+IF(BF66=0,,BG66/BF66*100)</f>
        <v>0</v>
      </c>
      <c r="BI66" s="22"/>
      <c r="BJ66" s="40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19"/>
      <c r="CX66" s="19"/>
      <c r="CY66" s="19"/>
      <c r="CZ66" s="19"/>
      <c r="DA66" s="21"/>
      <c r="DB66" s="21"/>
      <c r="DC66" s="79"/>
      <c r="DD66" s="79"/>
      <c r="DE66" s="79"/>
      <c r="DF66" s="79"/>
      <c r="DG66" s="79"/>
      <c r="DH66" s="51"/>
      <c r="DI66" s="39"/>
      <c r="DJ66" s="80"/>
      <c r="DK66" s="39"/>
      <c r="DL66" s="39"/>
      <c r="DM66" s="48"/>
      <c r="DN66" s="39"/>
      <c r="DO66" s="39"/>
      <c r="DP66" s="39"/>
      <c r="DQ66" s="39"/>
      <c r="DR66" s="39"/>
      <c r="DS66" s="39"/>
      <c r="DT66" s="39"/>
      <c r="DU66" s="19">
        <f t="shared" si="251"/>
        <v>0</v>
      </c>
      <c r="DV66" s="40">
        <f t="shared" ref="DV66:DV94" si="418">+(BG66*AZ66)/1.18</f>
        <v>0</v>
      </c>
      <c r="DW66" s="40">
        <f t="shared" ref="DW66:DW94" si="419">+BD66*AZ66</f>
        <v>0</v>
      </c>
      <c r="DX66" s="46"/>
      <c r="DY66" s="21">
        <f t="shared" si="403"/>
        <v>0</v>
      </c>
      <c r="DZ66" s="19">
        <f t="shared" ref="DZ66:DZ94" si="420">+BC66*AY66/1000</f>
        <v>0</v>
      </c>
      <c r="EA66" s="19">
        <f t="shared" ref="EA66:EA94" si="421">+BD66*AY66/1000</f>
        <v>0</v>
      </c>
      <c r="EB66" s="19"/>
      <c r="EC66" s="48">
        <f t="shared" ref="EC66:EC70" si="422">+(BC66-BF66/1.18)*AZ66/2</f>
        <v>0</v>
      </c>
      <c r="ED66" s="48">
        <f t="shared" ref="ED66:ED70" si="423">+(BD66-BG66/1.18)*AZ66/2</f>
        <v>0</v>
      </c>
      <c r="EE66" s="22"/>
      <c r="EF66" s="22"/>
      <c r="EG66" s="22">
        <f t="shared" si="404"/>
        <v>0</v>
      </c>
      <c r="EH66" s="22"/>
      <c r="EI66" s="22"/>
      <c r="EJ66" s="22">
        <f t="shared" si="405"/>
        <v>0</v>
      </c>
      <c r="EK66" s="40"/>
      <c r="EL66" s="19"/>
      <c r="EM66" s="19"/>
      <c r="EN66" s="40">
        <f t="shared" ref="EN66:EN96" si="424">+(EI66*EM66)/1.18</f>
        <v>0</v>
      </c>
      <c r="EO66" s="40">
        <f t="shared" ref="EO66:EO96" si="425">+EF66*EM66</f>
        <v>0</v>
      </c>
      <c r="EP66" s="40"/>
      <c r="EQ66" s="21">
        <f t="shared" ref="EQ66:EQ96" si="426">+IF(EO66=0,,EN66/EO66*100)</f>
        <v>0</v>
      </c>
      <c r="ER66" s="21"/>
      <c r="ES66" s="21"/>
      <c r="ET66" s="21"/>
      <c r="EU66" s="19">
        <f t="shared" si="406"/>
        <v>0</v>
      </c>
      <c r="EV66" s="21"/>
      <c r="EW66" s="39"/>
      <c r="EX66" s="39">
        <f t="shared" si="407"/>
        <v>0</v>
      </c>
      <c r="EY66" s="39">
        <f t="shared" si="408"/>
        <v>0</v>
      </c>
      <c r="EZ66" s="39"/>
      <c r="FA66" s="39"/>
      <c r="FB66" s="39"/>
      <c r="FC66" s="39"/>
      <c r="FD66" s="39"/>
      <c r="FE66" s="39"/>
      <c r="FF66" s="39"/>
      <c r="FG66" s="39"/>
      <c r="FH66" s="39"/>
      <c r="FI66" s="39"/>
      <c r="FJ66" s="19">
        <f t="shared" ref="FJ66:FJ96" si="427">+(EE66-EH66/1.18)*EM66</f>
        <v>0</v>
      </c>
      <c r="FK66" s="19">
        <f t="shared" ref="FK66:FK96" si="428">+(EF66-EI66/1.18)*EM66</f>
        <v>0</v>
      </c>
      <c r="FL66" s="19">
        <f t="shared" ref="FL66:FL96" si="429">+FJ66+FK66</f>
        <v>0</v>
      </c>
      <c r="FM66" s="19"/>
      <c r="FN66" s="19"/>
      <c r="FO66" s="22">
        <f t="shared" si="409"/>
        <v>0</v>
      </c>
      <c r="FP66" s="22"/>
      <c r="FQ66" s="22">
        <f t="shared" ref="FQ66" si="430">+IF(FO66=0,,FP66/FO66*100)</f>
        <v>0</v>
      </c>
      <c r="FR66" s="22">
        <f t="shared" ref="FR66:FR87" si="431">+EI66</f>
        <v>0</v>
      </c>
      <c r="FS66" s="22"/>
      <c r="FT66" s="22"/>
      <c r="FU66" s="40"/>
      <c r="FV66" s="19">
        <f>+(FO66-FR66/1.18)*FN66</f>
        <v>0</v>
      </c>
      <c r="FW66" s="19">
        <f>+(FP66-FS66/1.18)*FN66</f>
        <v>0</v>
      </c>
      <c r="FX66" s="19">
        <f t="shared" ref="FX66:FX87" si="432">+(FW66/2)-FV66/2</f>
        <v>0</v>
      </c>
      <c r="FY66" s="19">
        <f t="shared" ref="FY66:FY87" si="433">+(FR66*EM66)/1.18</f>
        <v>0</v>
      </c>
      <c r="FZ66" s="19">
        <f t="shared" ref="FZ66:FZ87" si="434">+FO66*EM66</f>
        <v>0</v>
      </c>
      <c r="GA66" s="19">
        <f t="shared" ref="GA66:GA87" si="435">+(FS66*EM66)/1.18</f>
        <v>0</v>
      </c>
      <c r="GB66" s="19">
        <f t="shared" ref="GB66:GB87" si="436">+FP66*EM66</f>
        <v>0</v>
      </c>
      <c r="GC66" s="20">
        <f t="shared" si="411"/>
        <v>0</v>
      </c>
      <c r="GD66" s="20">
        <f t="shared" si="412"/>
        <v>0</v>
      </c>
      <c r="GE66" s="21">
        <f t="shared" ref="GE66" si="437">+FO66*FM66</f>
        <v>0</v>
      </c>
      <c r="GF66" s="21">
        <f t="shared" ref="GF66" si="438">+FR66*FN66</f>
        <v>0</v>
      </c>
      <c r="GG66" s="21"/>
      <c r="GH66" s="21"/>
      <c r="GI66" s="21"/>
      <c r="GJ66" s="21">
        <f t="shared" ref="GJ66" si="439">+FS66*FN66</f>
        <v>0</v>
      </c>
      <c r="GK66" s="21"/>
      <c r="GL66" s="21"/>
      <c r="GM66" s="19"/>
      <c r="GN66" s="19"/>
      <c r="GO66" s="22"/>
      <c r="GP66" s="22"/>
      <c r="GQ66" s="22">
        <f t="shared" ref="GQ66" si="440">+IF(GO66=0,,GP66/GO66*100)</f>
        <v>0</v>
      </c>
      <c r="GR66" s="22"/>
      <c r="GS66" s="22"/>
      <c r="GT66" s="22"/>
      <c r="GU66" s="43"/>
      <c r="GV66" s="19"/>
      <c r="GW66" s="19"/>
      <c r="GX66" s="19"/>
      <c r="GY66" s="19"/>
      <c r="GZ66" s="19"/>
      <c r="HA66" s="22"/>
      <c r="HB66" s="22"/>
      <c r="HC66" s="22">
        <f t="shared" ref="HC66" si="441">+IF(HA66=0,,HB66/HA66*100)</f>
        <v>0</v>
      </c>
      <c r="HD66" s="22"/>
      <c r="HE66" s="22"/>
      <c r="HF66" s="22"/>
      <c r="HG66" s="233"/>
    </row>
    <row r="67" spans="2:215" s="8" customFormat="1" ht="15.75">
      <c r="B67" s="10"/>
      <c r="C67" s="161" t="s">
        <v>153</v>
      </c>
      <c r="D67" s="82"/>
      <c r="E67" s="82"/>
      <c r="F67" s="40"/>
      <c r="G67" s="40"/>
      <c r="H67" s="40"/>
      <c r="I67" s="82"/>
      <c r="J67" s="75"/>
      <c r="K67" s="75"/>
      <c r="L67" s="75"/>
      <c r="M67" s="40"/>
      <c r="N67" s="40"/>
      <c r="O67" s="74"/>
      <c r="P67" s="74"/>
      <c r="Q67" s="74"/>
      <c r="R67" s="40"/>
      <c r="S67" s="74"/>
      <c r="T67" s="74"/>
      <c r="U67" s="74"/>
      <c r="V67" s="52"/>
      <c r="W67" s="52"/>
      <c r="X67" s="52"/>
      <c r="Y67" s="52"/>
      <c r="Z67" s="22"/>
      <c r="AA67" s="52"/>
      <c r="AB67" s="22"/>
      <c r="AC67" s="52"/>
      <c r="AD67" s="52">
        <v>2523.4</v>
      </c>
      <c r="AE67" s="22">
        <f>+IF(AC67=0,,AF67/AC67*100)</f>
        <v>0</v>
      </c>
      <c r="AF67" s="22">
        <v>2523.4</v>
      </c>
      <c r="AG67" s="22">
        <f t="shared" si="413"/>
        <v>100</v>
      </c>
      <c r="AH67" s="52"/>
      <c r="AI67" s="52"/>
      <c r="AJ67" s="52"/>
      <c r="AK67" s="52"/>
      <c r="AL67" s="22"/>
      <c r="AM67" s="52"/>
      <c r="AN67" s="22"/>
      <c r="AO67" s="22"/>
      <c r="AP67" s="22"/>
      <c r="AQ67" s="22"/>
      <c r="AR67" s="22">
        <v>1899.68</v>
      </c>
      <c r="AS67" s="22">
        <f>+IF(AQ67=0,,AT67/AQ67*100)</f>
        <v>0</v>
      </c>
      <c r="AT67" s="22">
        <v>2121.94</v>
      </c>
      <c r="AU67" s="22">
        <f t="shared" si="414"/>
        <v>111.69986524046156</v>
      </c>
      <c r="AV67" s="77"/>
      <c r="AW67" s="77"/>
      <c r="AX67" s="78" t="s">
        <v>139</v>
      </c>
      <c r="AY67" s="22">
        <f t="shared" si="415"/>
        <v>0.93734999999999991</v>
      </c>
      <c r="AZ67" s="22">
        <f>+[7]БПр!$BX$1648/1000</f>
        <v>0.7196999999999999</v>
      </c>
      <c r="BA67" s="22">
        <f>+[7]БПр!$BW$1648/1000</f>
        <v>0.21765000000000001</v>
      </c>
      <c r="BB67" s="22">
        <f>+[7]БПр!$BY$1650/1000</f>
        <v>0</v>
      </c>
      <c r="BC67" s="22">
        <v>2523.4</v>
      </c>
      <c r="BD67" s="22">
        <v>2629.38</v>
      </c>
      <c r="BE67" s="22">
        <f t="shared" si="416"/>
        <v>104.19988903859871</v>
      </c>
      <c r="BF67" s="22">
        <v>2121.94</v>
      </c>
      <c r="BG67" s="22">
        <v>2211.06</v>
      </c>
      <c r="BH67" s="22">
        <f t="shared" si="417"/>
        <v>104.19993025250479</v>
      </c>
      <c r="BI67" s="22">
        <f>+BD67-BG67/1.18</f>
        <v>755.60033898305096</v>
      </c>
      <c r="BJ67" s="40" t="s">
        <v>140</v>
      </c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19"/>
      <c r="CX67" s="19"/>
      <c r="CY67" s="19"/>
      <c r="CZ67" s="19"/>
      <c r="DA67" s="21"/>
      <c r="DB67" s="21"/>
      <c r="DC67" s="79"/>
      <c r="DD67" s="79"/>
      <c r="DE67" s="79"/>
      <c r="DF67" s="79"/>
      <c r="DG67" s="79"/>
      <c r="DH67" s="51"/>
      <c r="DI67" s="39"/>
      <c r="DJ67" s="80"/>
      <c r="DK67" s="39"/>
      <c r="DL67" s="39"/>
      <c r="DM67" s="48"/>
      <c r="DN67" s="39"/>
      <c r="DO67" s="39"/>
      <c r="DP67" s="39"/>
      <c r="DQ67" s="39"/>
      <c r="DR67" s="39"/>
      <c r="DS67" s="39"/>
      <c r="DT67" s="39"/>
      <c r="DU67" s="19">
        <f t="shared" si="251"/>
        <v>1294.203574576271</v>
      </c>
      <c r="DV67" s="40">
        <f t="shared" si="418"/>
        <v>1348.5592220338981</v>
      </c>
      <c r="DW67" s="40">
        <f t="shared" si="419"/>
        <v>1892.3647859999999</v>
      </c>
      <c r="DX67" s="21">
        <f>+'[1]тарифы (НВВ) население на 4,2%'!CO112</f>
        <v>49.217704257100351</v>
      </c>
      <c r="DY67" s="21">
        <f t="shared" si="403"/>
        <v>71.263174627362687</v>
      </c>
      <c r="DZ67" s="19">
        <f t="shared" si="420"/>
        <v>2.3653089899999999</v>
      </c>
      <c r="EA67" s="19">
        <f t="shared" si="421"/>
        <v>2.464649343</v>
      </c>
      <c r="EB67" s="48">
        <v>1859.47</v>
      </c>
      <c r="EC67" s="48">
        <f>+(BC67-BF67/1.18)*AZ67</f>
        <v>521.88740542372864</v>
      </c>
      <c r="ED67" s="48">
        <f>+(BD67-BG67/1.18)*AZ67</f>
        <v>543.80556396610166</v>
      </c>
      <c r="EE67" s="22">
        <v>2629.38</v>
      </c>
      <c r="EF67" s="22">
        <v>2813.43</v>
      </c>
      <c r="EG67" s="22">
        <f t="shared" si="404"/>
        <v>106.99974899025624</v>
      </c>
      <c r="EH67" s="22">
        <v>2211.06</v>
      </c>
      <c r="EI67" s="22">
        <v>2397.89</v>
      </c>
      <c r="EJ67" s="22">
        <f t="shared" si="405"/>
        <v>108.44979331180519</v>
      </c>
      <c r="EK67" s="40" t="s">
        <v>141</v>
      </c>
      <c r="EL67" s="19">
        <v>0.78251000000000004</v>
      </c>
      <c r="EM67" s="19">
        <v>0.57133</v>
      </c>
      <c r="EN67" s="40">
        <f t="shared" si="424"/>
        <v>1161.0055031355932</v>
      </c>
      <c r="EO67" s="40">
        <f t="shared" si="425"/>
        <v>1607.3969619</v>
      </c>
      <c r="EP67" s="40"/>
      <c r="EQ67" s="21">
        <f t="shared" si="426"/>
        <v>72.228922329381774</v>
      </c>
      <c r="ER67" s="21"/>
      <c r="ES67" s="19">
        <f t="shared" ref="ES67:ES71" si="442">+EL67*EE67</f>
        <v>2057.5161438</v>
      </c>
      <c r="ET67" s="19"/>
      <c r="EU67" s="19">
        <f t="shared" si="406"/>
        <v>2201.5371092999999</v>
      </c>
      <c r="EV67" s="21"/>
      <c r="EW67" s="39"/>
      <c r="EX67" s="39">
        <f t="shared" si="407"/>
        <v>2464.649343</v>
      </c>
      <c r="EY67" s="39">
        <f t="shared" si="408"/>
        <v>2637.1686104999994</v>
      </c>
      <c r="EZ67" s="39"/>
      <c r="FA67" s="39"/>
      <c r="FB67" s="39"/>
      <c r="FC67" s="39"/>
      <c r="FD67" s="39"/>
      <c r="FE67" s="39">
        <f>+EF67*1.18</f>
        <v>3319.8473999999997</v>
      </c>
      <c r="FF67" s="39"/>
      <c r="FG67" s="39"/>
      <c r="FH67" s="39"/>
      <c r="FI67" s="39"/>
      <c r="FJ67" s="19">
        <f t="shared" si="427"/>
        <v>431.6971416711865</v>
      </c>
      <c r="FK67" s="19">
        <f t="shared" si="428"/>
        <v>446.39145876440676</v>
      </c>
      <c r="FL67" s="19">
        <f t="shared" si="429"/>
        <v>878.08860043559321</v>
      </c>
      <c r="FM67" s="19">
        <v>0.81299999999999994</v>
      </c>
      <c r="FN67" s="19">
        <v>0.60199999999999998</v>
      </c>
      <c r="FO67" s="22">
        <v>3013.12</v>
      </c>
      <c r="FP67" s="22">
        <v>3083.47</v>
      </c>
      <c r="FQ67" s="22"/>
      <c r="FR67" s="22">
        <v>2751.1</v>
      </c>
      <c r="FS67" s="22">
        <v>2751.1</v>
      </c>
      <c r="FT67" s="22">
        <f t="shared" ref="FT67:FT71" si="443">+IF(FR67=0,,FS67/FR67*100)</f>
        <v>100</v>
      </c>
      <c r="FU67" s="129" t="s">
        <v>624</v>
      </c>
      <c r="FV67" s="19"/>
      <c r="FW67" s="19"/>
      <c r="FX67" s="19"/>
      <c r="FY67" s="19"/>
      <c r="FZ67" s="19"/>
      <c r="GA67" s="19"/>
      <c r="GB67" s="19"/>
      <c r="GC67" s="20"/>
      <c r="GD67" s="20"/>
      <c r="GE67" s="19"/>
      <c r="GF67" s="21"/>
      <c r="GG67" s="19"/>
      <c r="GH67" s="19"/>
      <c r="GI67" s="19"/>
      <c r="GJ67" s="21"/>
      <c r="GK67" s="19"/>
      <c r="GL67" s="19"/>
      <c r="GM67" s="19"/>
      <c r="GN67" s="19"/>
      <c r="GO67" s="22">
        <v>3083.47</v>
      </c>
      <c r="GP67" s="22">
        <v>3217.34</v>
      </c>
      <c r="GQ67" s="22"/>
      <c r="GR67" s="22">
        <v>2751.1</v>
      </c>
      <c r="GS67" s="22">
        <v>2855.64</v>
      </c>
      <c r="GT67" s="22"/>
      <c r="GU67" s="129" t="s">
        <v>624</v>
      </c>
      <c r="GV67" s="19"/>
      <c r="GW67" s="19"/>
      <c r="GX67" s="19"/>
      <c r="GY67" s="19"/>
      <c r="GZ67" s="23"/>
      <c r="HA67" s="22">
        <v>3217.34</v>
      </c>
      <c r="HB67" s="22">
        <v>3305.42</v>
      </c>
      <c r="HC67" s="22"/>
      <c r="HD67" s="22">
        <v>2855.64</v>
      </c>
      <c r="HE67" s="22">
        <v>2969.87</v>
      </c>
      <c r="HF67" s="22"/>
      <c r="HG67" s="236" t="s">
        <v>624</v>
      </c>
    </row>
    <row r="68" spans="2:215" s="8" customFormat="1" ht="15.75">
      <c r="B68" s="10" t="s">
        <v>213</v>
      </c>
      <c r="C68" s="81" t="s">
        <v>214</v>
      </c>
      <c r="D68" s="82"/>
      <c r="E68" s="82"/>
      <c r="F68" s="40"/>
      <c r="G68" s="40"/>
      <c r="H68" s="40"/>
      <c r="I68" s="82"/>
      <c r="J68" s="75"/>
      <c r="K68" s="75"/>
      <c r="L68" s="75"/>
      <c r="M68" s="40"/>
      <c r="N68" s="40"/>
      <c r="O68" s="74"/>
      <c r="P68" s="74"/>
      <c r="Q68" s="74"/>
      <c r="R68" s="40"/>
      <c r="S68" s="74"/>
      <c r="T68" s="74"/>
      <c r="U68" s="74"/>
      <c r="V68" s="52"/>
      <c r="W68" s="52"/>
      <c r="X68" s="52"/>
      <c r="Y68" s="52"/>
      <c r="Z68" s="22"/>
      <c r="AA68" s="52"/>
      <c r="AB68" s="22"/>
      <c r="AC68" s="52"/>
      <c r="AD68" s="22"/>
      <c r="AE68" s="22"/>
      <c r="AF68" s="22"/>
      <c r="AG68" s="22"/>
      <c r="AH68" s="52"/>
      <c r="AI68" s="52"/>
      <c r="AJ68" s="52"/>
      <c r="AK68" s="52"/>
      <c r="AL68" s="22"/>
      <c r="AM68" s="52"/>
      <c r="AN68" s="22"/>
      <c r="AO68" s="22"/>
      <c r="AP68" s="22"/>
      <c r="AQ68" s="22"/>
      <c r="AR68" s="22"/>
      <c r="AS68" s="22"/>
      <c r="AT68" s="22"/>
      <c r="AU68" s="22"/>
      <c r="AV68" s="77"/>
      <c r="AW68" s="77"/>
      <c r="AX68" s="78"/>
      <c r="AY68" s="22">
        <f t="shared" si="415"/>
        <v>0</v>
      </c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40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19"/>
      <c r="CX68" s="19"/>
      <c r="CY68" s="19"/>
      <c r="CZ68" s="19"/>
      <c r="DA68" s="21"/>
      <c r="DB68" s="21"/>
      <c r="DC68" s="79"/>
      <c r="DD68" s="79"/>
      <c r="DE68" s="79"/>
      <c r="DF68" s="79"/>
      <c r="DG68" s="79"/>
      <c r="DH68" s="51"/>
      <c r="DI68" s="39"/>
      <c r="DJ68" s="80"/>
      <c r="DK68" s="39"/>
      <c r="DL68" s="39"/>
      <c r="DM68" s="48"/>
      <c r="DN68" s="39"/>
      <c r="DO68" s="39"/>
      <c r="DP68" s="39"/>
      <c r="DQ68" s="39"/>
      <c r="DR68" s="39"/>
      <c r="DS68" s="39"/>
      <c r="DT68" s="39"/>
      <c r="DU68" s="19">
        <f t="shared" ref="DU68:DU101" si="444">+(BF68*AZ68)/1.18</f>
        <v>0</v>
      </c>
      <c r="DV68" s="40">
        <f t="shared" si="418"/>
        <v>0</v>
      </c>
      <c r="DW68" s="40">
        <f t="shared" si="419"/>
        <v>0</v>
      </c>
      <c r="DX68" s="46"/>
      <c r="DY68" s="21">
        <f t="shared" si="403"/>
        <v>0</v>
      </c>
      <c r="DZ68" s="19">
        <f t="shared" si="420"/>
        <v>0</v>
      </c>
      <c r="EA68" s="19">
        <f t="shared" si="421"/>
        <v>0</v>
      </c>
      <c r="EB68" s="19"/>
      <c r="EC68" s="48">
        <f t="shared" si="422"/>
        <v>0</v>
      </c>
      <c r="ED68" s="48">
        <f t="shared" si="423"/>
        <v>0</v>
      </c>
      <c r="EE68" s="22"/>
      <c r="EF68" s="22"/>
      <c r="EG68" s="22">
        <f t="shared" si="404"/>
        <v>0</v>
      </c>
      <c r="EH68" s="22"/>
      <c r="EI68" s="22"/>
      <c r="EJ68" s="22">
        <f t="shared" si="405"/>
        <v>0</v>
      </c>
      <c r="EK68" s="40"/>
      <c r="EL68" s="19"/>
      <c r="EM68" s="19"/>
      <c r="EN68" s="40">
        <f t="shared" si="424"/>
        <v>0</v>
      </c>
      <c r="EO68" s="40">
        <f t="shared" si="425"/>
        <v>0</v>
      </c>
      <c r="EP68" s="40"/>
      <c r="EQ68" s="21">
        <f t="shared" si="426"/>
        <v>0</v>
      </c>
      <c r="ER68" s="21"/>
      <c r="ES68" s="19">
        <f t="shared" si="442"/>
        <v>0</v>
      </c>
      <c r="ET68" s="19"/>
      <c r="EU68" s="19">
        <f t="shared" si="406"/>
        <v>0</v>
      </c>
      <c r="EV68" s="21"/>
      <c r="EW68" s="39"/>
      <c r="EX68" s="39">
        <f t="shared" si="407"/>
        <v>0</v>
      </c>
      <c r="EY68" s="39">
        <f t="shared" si="408"/>
        <v>0</v>
      </c>
      <c r="EZ68" s="39"/>
      <c r="FA68" s="39"/>
      <c r="FB68" s="39"/>
      <c r="FC68" s="39"/>
      <c r="FD68" s="39"/>
      <c r="FE68" s="39"/>
      <c r="FF68" s="39"/>
      <c r="FG68" s="39"/>
      <c r="FH68" s="39"/>
      <c r="FI68" s="39"/>
      <c r="FJ68" s="19">
        <f t="shared" si="427"/>
        <v>0</v>
      </c>
      <c r="FK68" s="19">
        <f t="shared" si="428"/>
        <v>0</v>
      </c>
      <c r="FL68" s="19">
        <f t="shared" si="429"/>
        <v>0</v>
      </c>
      <c r="FM68" s="19"/>
      <c r="FN68" s="19"/>
      <c r="FO68" s="22"/>
      <c r="FP68" s="22"/>
      <c r="FQ68" s="22"/>
      <c r="FR68" s="22"/>
      <c r="FS68" s="22"/>
      <c r="FT68" s="22">
        <f t="shared" si="443"/>
        <v>0</v>
      </c>
      <c r="FU68" s="40"/>
      <c r="FV68" s="19"/>
      <c r="FW68" s="19"/>
      <c r="FX68" s="19"/>
      <c r="FY68" s="19"/>
      <c r="FZ68" s="19"/>
      <c r="GA68" s="19"/>
      <c r="GB68" s="19"/>
      <c r="GC68" s="20"/>
      <c r="GD68" s="20"/>
      <c r="GE68" s="19"/>
      <c r="GF68" s="21"/>
      <c r="GG68" s="19"/>
      <c r="GH68" s="19"/>
      <c r="GI68" s="19"/>
      <c r="GJ68" s="21"/>
      <c r="GK68" s="19"/>
      <c r="GL68" s="19"/>
      <c r="GM68" s="19"/>
      <c r="GN68" s="19"/>
      <c r="GO68" s="22"/>
      <c r="GP68" s="22"/>
      <c r="GQ68" s="22"/>
      <c r="GR68" s="22"/>
      <c r="GS68" s="22"/>
      <c r="GT68" s="22"/>
      <c r="GU68" s="43"/>
      <c r="GV68" s="19"/>
      <c r="GW68" s="19"/>
      <c r="GX68" s="19"/>
      <c r="GY68" s="19"/>
      <c r="GZ68" s="19"/>
      <c r="HA68" s="22"/>
      <c r="HB68" s="22"/>
      <c r="HC68" s="22"/>
      <c r="HD68" s="22"/>
      <c r="HE68" s="22"/>
      <c r="HF68" s="22"/>
      <c r="HG68" s="233"/>
    </row>
    <row r="69" spans="2:215" s="8" customFormat="1" ht="15.75">
      <c r="B69" s="10"/>
      <c r="C69" s="184" t="s">
        <v>142</v>
      </c>
      <c r="D69" s="82"/>
      <c r="E69" s="82"/>
      <c r="F69" s="40"/>
      <c r="G69" s="40"/>
      <c r="H69" s="40"/>
      <c r="I69" s="82"/>
      <c r="J69" s="75"/>
      <c r="K69" s="75"/>
      <c r="L69" s="75"/>
      <c r="M69" s="40"/>
      <c r="N69" s="40"/>
      <c r="O69" s="74"/>
      <c r="P69" s="74"/>
      <c r="Q69" s="74"/>
      <c r="R69" s="40"/>
      <c r="S69" s="74"/>
      <c r="T69" s="74"/>
      <c r="U69" s="74"/>
      <c r="V69" s="52"/>
      <c r="W69" s="52"/>
      <c r="X69" s="52"/>
      <c r="Y69" s="52"/>
      <c r="Z69" s="22"/>
      <c r="AA69" s="52"/>
      <c r="AB69" s="22"/>
      <c r="AC69" s="52"/>
      <c r="AD69" s="22"/>
      <c r="AE69" s="22"/>
      <c r="AF69" s="22"/>
      <c r="AG69" s="22"/>
      <c r="AH69" s="52"/>
      <c r="AI69" s="52"/>
      <c r="AJ69" s="52"/>
      <c r="AK69" s="52"/>
      <c r="AL69" s="22"/>
      <c r="AM69" s="52"/>
      <c r="AN69" s="22"/>
      <c r="AO69" s="22"/>
      <c r="AP69" s="22"/>
      <c r="AQ69" s="22"/>
      <c r="AR69" s="22"/>
      <c r="AS69" s="22"/>
      <c r="AT69" s="22"/>
      <c r="AU69" s="22"/>
      <c r="AV69" s="77"/>
      <c r="AW69" s="77"/>
      <c r="AX69" s="78"/>
      <c r="AY69" s="22">
        <f t="shared" si="415"/>
        <v>56.273000000000017</v>
      </c>
      <c r="AZ69" s="22">
        <f>+[3]БПр!$AC$1536/1000</f>
        <v>44.209000000000017</v>
      </c>
      <c r="BA69" s="22">
        <f>+[3]БПр!$AB$1536/1000</f>
        <v>3.8870000000000005</v>
      </c>
      <c r="BB69" s="22">
        <f>+[3]БПр!$AD$1538/1000</f>
        <v>8.1769999999999996</v>
      </c>
      <c r="BC69" s="22">
        <v>136.41</v>
      </c>
      <c r="BD69" s="22">
        <v>136.41</v>
      </c>
      <c r="BE69" s="22"/>
      <c r="BF69" s="22">
        <v>56.92</v>
      </c>
      <c r="BG69" s="22">
        <v>59.31</v>
      </c>
      <c r="BH69" s="22"/>
      <c r="BI69" s="22"/>
      <c r="BJ69" s="40" t="s">
        <v>215</v>
      </c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19"/>
      <c r="CX69" s="19"/>
      <c r="CY69" s="19"/>
      <c r="CZ69" s="19"/>
      <c r="DA69" s="21"/>
      <c r="DB69" s="21"/>
      <c r="DC69" s="79"/>
      <c r="DD69" s="79"/>
      <c r="DE69" s="79"/>
      <c r="DF69" s="79"/>
      <c r="DG69" s="79"/>
      <c r="DH69" s="51"/>
      <c r="DI69" s="39"/>
      <c r="DJ69" s="80"/>
      <c r="DK69" s="39"/>
      <c r="DL69" s="39"/>
      <c r="DM69" s="48"/>
      <c r="DN69" s="39"/>
      <c r="DO69" s="39"/>
      <c r="DP69" s="39"/>
      <c r="DQ69" s="39"/>
      <c r="DR69" s="39"/>
      <c r="DS69" s="39"/>
      <c r="DT69" s="39"/>
      <c r="DU69" s="19">
        <f t="shared" si="444"/>
        <v>2132.5222711864417</v>
      </c>
      <c r="DV69" s="40">
        <f t="shared" si="418"/>
        <v>2222.0642288135605</v>
      </c>
      <c r="DW69" s="40">
        <f t="shared" si="419"/>
        <v>6030.5496900000026</v>
      </c>
      <c r="DX69" s="21">
        <f>+'[1]тарифы (НВВ) население на 4,2%'!CO113</f>
        <v>46.981080365371788</v>
      </c>
      <c r="DY69" s="21">
        <f t="shared" si="403"/>
        <v>36.846794123896181</v>
      </c>
      <c r="DZ69" s="19">
        <f t="shared" si="420"/>
        <v>7.6761999300000028</v>
      </c>
      <c r="EA69" s="19">
        <f t="shared" si="421"/>
        <v>7.6761999300000028</v>
      </c>
      <c r="EB69" s="19"/>
      <c r="EC69" s="48">
        <f>+(BC69-BF69/1.18)*AZ69</f>
        <v>3898.0274188135609</v>
      </c>
      <c r="ED69" s="48">
        <f>+(BD69-BG69/1.18)*AZ69</f>
        <v>3808.4854611864421</v>
      </c>
      <c r="EE69" s="22">
        <v>136.41</v>
      </c>
      <c r="EF69" s="22">
        <v>144.59</v>
      </c>
      <c r="EG69" s="22">
        <f t="shared" si="404"/>
        <v>105.99662781321018</v>
      </c>
      <c r="EH69" s="22">
        <v>59.31</v>
      </c>
      <c r="EI69" s="22">
        <v>64.319999999999993</v>
      </c>
      <c r="EJ69" s="22">
        <f t="shared" si="405"/>
        <v>108.44714213454726</v>
      </c>
      <c r="EK69" s="40" t="s">
        <v>216</v>
      </c>
      <c r="EL69" s="19">
        <v>56.27</v>
      </c>
      <c r="EM69" s="19">
        <v>44.21</v>
      </c>
      <c r="EN69" s="40">
        <f t="shared" si="424"/>
        <v>2409.8196610169493</v>
      </c>
      <c r="EO69" s="40">
        <f t="shared" si="425"/>
        <v>6392.3239000000003</v>
      </c>
      <c r="EP69" s="40"/>
      <c r="EQ69" s="21">
        <f t="shared" si="426"/>
        <v>37.698647607905933</v>
      </c>
      <c r="ER69" s="21"/>
      <c r="ES69" s="19">
        <f t="shared" si="442"/>
        <v>7675.7907000000005</v>
      </c>
      <c r="ET69" s="19"/>
      <c r="EU69" s="19">
        <f t="shared" si="406"/>
        <v>8136.0793000000003</v>
      </c>
      <c r="EV69" s="21"/>
      <c r="EW69" s="39"/>
      <c r="EX69" s="39">
        <f t="shared" si="407"/>
        <v>7676.1999300000025</v>
      </c>
      <c r="EY69" s="39">
        <f t="shared" si="408"/>
        <v>8136.5130700000027</v>
      </c>
      <c r="EZ69" s="39"/>
      <c r="FA69" s="39"/>
      <c r="FB69" s="39"/>
      <c r="FC69" s="39"/>
      <c r="FD69" s="39"/>
      <c r="FE69" s="39"/>
      <c r="FF69" s="39"/>
      <c r="FG69" s="39"/>
      <c r="FH69" s="39"/>
      <c r="FI69" s="39"/>
      <c r="FJ69" s="19">
        <f>+(EE69-EH69)*EM69</f>
        <v>3408.5909999999999</v>
      </c>
      <c r="FK69" s="19">
        <f>+(EF69-EI69)*EM69</f>
        <v>3548.7367000000004</v>
      </c>
      <c r="FL69" s="19">
        <f t="shared" si="429"/>
        <v>6957.3276999999998</v>
      </c>
      <c r="FM69" s="19">
        <v>58</v>
      </c>
      <c r="FN69" s="19">
        <v>47.5</v>
      </c>
      <c r="FO69" s="22">
        <v>150.34</v>
      </c>
      <c r="FP69" s="22">
        <v>151.86000000000001</v>
      </c>
      <c r="FQ69" s="22"/>
      <c r="FR69" s="22">
        <v>89.94</v>
      </c>
      <c r="FS69" s="22">
        <v>89.94</v>
      </c>
      <c r="FT69" s="22">
        <f t="shared" si="443"/>
        <v>100</v>
      </c>
      <c r="FU69" s="40" t="s">
        <v>655</v>
      </c>
      <c r="FV69" s="19"/>
      <c r="FW69" s="19"/>
      <c r="FX69" s="19"/>
      <c r="FY69" s="19"/>
      <c r="FZ69" s="19"/>
      <c r="GA69" s="19"/>
      <c r="GB69" s="19"/>
      <c r="GC69" s="20"/>
      <c r="GD69" s="20"/>
      <c r="GE69" s="19"/>
      <c r="GF69" s="21"/>
      <c r="GG69" s="19"/>
      <c r="GH69" s="19"/>
      <c r="GI69" s="19"/>
      <c r="GJ69" s="21"/>
      <c r="GK69" s="19"/>
      <c r="GL69" s="19"/>
      <c r="GM69" s="19"/>
      <c r="GN69" s="19"/>
      <c r="GO69" s="22" t="s">
        <v>633</v>
      </c>
      <c r="GP69" s="22" t="s">
        <v>633</v>
      </c>
      <c r="GQ69" s="22"/>
      <c r="GR69" s="22" t="s">
        <v>633</v>
      </c>
      <c r="GS69" s="22" t="s">
        <v>633</v>
      </c>
      <c r="GT69" s="22"/>
      <c r="GU69" s="43" t="s">
        <v>633</v>
      </c>
      <c r="GV69" s="19"/>
      <c r="GW69" s="19"/>
      <c r="GX69" s="19"/>
      <c r="GY69" s="19"/>
      <c r="GZ69" s="23"/>
      <c r="HA69" s="22" t="s">
        <v>633</v>
      </c>
      <c r="HB69" s="22" t="s">
        <v>633</v>
      </c>
      <c r="HC69" s="22"/>
      <c r="HD69" s="22" t="s">
        <v>633</v>
      </c>
      <c r="HE69" s="22" t="s">
        <v>633</v>
      </c>
      <c r="HF69" s="22"/>
      <c r="HG69" s="233" t="s">
        <v>633</v>
      </c>
    </row>
    <row r="70" spans="2:215" ht="15.75">
      <c r="B70" s="10" t="s">
        <v>217</v>
      </c>
      <c r="C70" s="81" t="s">
        <v>218</v>
      </c>
      <c r="D70" s="82">
        <f>+E70+I70</f>
        <v>0</v>
      </c>
      <c r="E70" s="73"/>
      <c r="F70" s="73"/>
      <c r="G70" s="73"/>
      <c r="H70" s="73"/>
      <c r="I70" s="73"/>
      <c r="J70" s="73"/>
      <c r="K70" s="73"/>
      <c r="L70" s="73"/>
      <c r="M70" s="82">
        <f>+N70+R70</f>
        <v>0</v>
      </c>
      <c r="N70" s="73"/>
      <c r="O70" s="73"/>
      <c r="P70" s="73"/>
      <c r="Q70" s="73"/>
      <c r="R70" s="73"/>
      <c r="S70" s="73"/>
      <c r="T70" s="73"/>
      <c r="U70" s="73"/>
      <c r="V70" s="52"/>
      <c r="W70" s="52"/>
      <c r="X70" s="52"/>
      <c r="Y70" s="52"/>
      <c r="Z70" s="22"/>
      <c r="AA70" s="52"/>
      <c r="AB70" s="22"/>
      <c r="AC70" s="22"/>
      <c r="AD70" s="22"/>
      <c r="AE70" s="22"/>
      <c r="AF70" s="22"/>
      <c r="AG70" s="22">
        <f t="shared" ref="AG70:AG71" si="445">+IF(AD70=0,,AF70/AD70*100)</f>
        <v>0</v>
      </c>
      <c r="AH70" s="52"/>
      <c r="AI70" s="52"/>
      <c r="AJ70" s="52"/>
      <c r="AK70" s="52"/>
      <c r="AL70" s="22"/>
      <c r="AM70" s="52"/>
      <c r="AN70" s="22"/>
      <c r="AO70" s="22"/>
      <c r="AP70" s="22"/>
      <c r="AQ70" s="22"/>
      <c r="AR70" s="22"/>
      <c r="AS70" s="22"/>
      <c r="AT70" s="22"/>
      <c r="AU70" s="22">
        <f t="shared" ref="AU70:AU71" si="446">+IF(AR70=0,,AT70/AR70*100)</f>
        <v>0</v>
      </c>
      <c r="AV70" s="77"/>
      <c r="AW70" s="77">
        <f>+CY70/$CY$65*100</f>
        <v>0</v>
      </c>
      <c r="AX70" s="190"/>
      <c r="AY70" s="22">
        <f t="shared" si="415"/>
        <v>0</v>
      </c>
      <c r="AZ70" s="22"/>
      <c r="BA70" s="22"/>
      <c r="BB70" s="22"/>
      <c r="BC70" s="22"/>
      <c r="BD70" s="22"/>
      <c r="BE70" s="22">
        <f t="shared" si="416"/>
        <v>0</v>
      </c>
      <c r="BF70" s="22"/>
      <c r="BG70" s="22"/>
      <c r="BH70" s="22">
        <f t="shared" si="417"/>
        <v>0</v>
      </c>
      <c r="BI70" s="22"/>
      <c r="BJ70" s="40"/>
      <c r="BK70" s="19">
        <f t="shared" si="353"/>
        <v>0</v>
      </c>
      <c r="BL70" s="19">
        <f t="shared" ref="BL70:BL76" si="447">+E70*AI70/1.18/1000</f>
        <v>0</v>
      </c>
      <c r="BM70" s="19">
        <f t="shared" ref="BM70:BM76" si="448">+(W70-ROUND(AI70/1.18,2))*E70/1000</f>
        <v>0</v>
      </c>
      <c r="BN70" s="19">
        <f t="shared" ref="BN70:BN76" si="449">+W70*I70/1000</f>
        <v>0</v>
      </c>
      <c r="BO70" s="19">
        <f t="shared" si="354"/>
        <v>0</v>
      </c>
      <c r="BP70" s="19">
        <f t="shared" ref="BP70:BP76" si="450">+AK70/1.18*E70/1000</f>
        <v>0</v>
      </c>
      <c r="BQ70" s="19">
        <f t="shared" ref="BQ70:BQ76" si="451">+(Y70-ROUND(AK70/1.18,2))*E70/1000</f>
        <v>0</v>
      </c>
      <c r="BR70" s="19">
        <f t="shared" ref="BR70:BR76" si="452">+Y70*I70/1000</f>
        <v>0</v>
      </c>
      <c r="BS70" s="19">
        <f t="shared" si="355"/>
        <v>0</v>
      </c>
      <c r="BT70" s="19">
        <f t="shared" ref="BT70:BT76" si="453">+AM70/1.18*E70/1000</f>
        <v>0</v>
      </c>
      <c r="BU70" s="19">
        <f t="shared" ref="BU70:BU76" si="454">+(AA70-ROUND(AM70/1.18,2))*E70/1000</f>
        <v>0</v>
      </c>
      <c r="BV70" s="19">
        <f t="shared" ref="BV70:BV76" si="455">+AA70*I70/1000</f>
        <v>0</v>
      </c>
      <c r="BW70" s="19">
        <f t="shared" ref="BW70:BW71" si="456">+BX70+BY70+BZ70</f>
        <v>0</v>
      </c>
      <c r="BX70" s="19">
        <f t="shared" ref="BX70:BX71" si="457">+((AQ70/1.18*N70/1000)+(AR70/1.18*N70/1000))/2</f>
        <v>0</v>
      </c>
      <c r="BY70" s="19">
        <f t="shared" ref="BY70:BY71" si="458">+((AC70-ROUND(AQ70/1.18,2))*N70/1000+(AD70-ROUND(AR70/1.18,2))*N70/1000)/2</f>
        <v>0</v>
      </c>
      <c r="BZ70" s="19">
        <f t="shared" ref="BZ70:BZ71" si="459">+((AC70*R70/1000)+(R70*AD70/1000))/2</f>
        <v>0</v>
      </c>
      <c r="CA70" s="19">
        <f t="shared" ref="CA70:CA71" si="460">+CB70+CC70+CD70</f>
        <v>0</v>
      </c>
      <c r="CB70" s="19">
        <f t="shared" ref="CB70:CB71" si="461">+AT70/1.18*N70/1000</f>
        <v>0</v>
      </c>
      <c r="CC70" s="19">
        <f t="shared" ref="CC70:CC71" si="462">+(AF70-ROUND(AT70/1.18,2))*N70/1000</f>
        <v>0</v>
      </c>
      <c r="CD70" s="19">
        <f t="shared" ref="CD70:CD76" si="463">+AF70*R70/1000</f>
        <v>0</v>
      </c>
      <c r="CE70" s="48">
        <f t="shared" ref="CE70:CE76" si="464">+IF(R70=0,,BN70/R70*1000)</f>
        <v>0</v>
      </c>
      <c r="CF70" s="48">
        <f t="shared" ref="CF70:CF76" si="465">+IF(I70=0,,BR70/I70*1000)</f>
        <v>0</v>
      </c>
      <c r="CG70" s="48">
        <f t="shared" ref="CG70:CG76" si="466">+IF(I70=0,,BV70/I70*1000)</f>
        <v>0</v>
      </c>
      <c r="CH70" s="48">
        <f t="shared" ref="CH70:CH76" si="467">+IF(E70=0,,BL70/E70*1000*1.18)</f>
        <v>0</v>
      </c>
      <c r="CI70" s="48">
        <f t="shared" ref="CI70:CI76" si="468">+IF(E70=0,,BP70/E70*1.18*1000)</f>
        <v>0</v>
      </c>
      <c r="CJ70" s="48">
        <f t="shared" ref="CJ70:CJ76" si="469">+IF(E70=0,,BT70/E70*1.18*1000)</f>
        <v>0</v>
      </c>
      <c r="CK70" s="48">
        <f t="shared" ref="CK70:CK76" si="470">+IF(D70=0,,BK70/D70*1000)</f>
        <v>0</v>
      </c>
      <c r="CL70" s="48">
        <f t="shared" ref="CL70:CL76" si="471">+IF(D70=0,,BO70/D70*1000)</f>
        <v>0</v>
      </c>
      <c r="CM70" s="48">
        <f t="shared" ref="CM70:CM76" si="472">+IF(D70=0,,BS70/D70*1000)</f>
        <v>0</v>
      </c>
      <c r="CN70" s="48">
        <f>+IF((D70+D70+D70)=0,,(BK70+BO70+BS70)/(D70+D70+D70))*1000</f>
        <v>0</v>
      </c>
      <c r="CO70" s="48">
        <f t="shared" ref="CO70:CO76" si="473">+IF(R70=0,,BZ70/R70*1000)</f>
        <v>0</v>
      </c>
      <c r="CP70" s="48">
        <f t="shared" ref="CP70:CP76" si="474">+IF(R70=0,,CD70/R70*1000)</f>
        <v>0</v>
      </c>
      <c r="CQ70" s="48">
        <f t="shared" ref="CQ70:CQ76" si="475">+IF(N70=0,,BX70/N70*1.18*1000)</f>
        <v>0</v>
      </c>
      <c r="CR70" s="48">
        <f t="shared" ref="CR70:CR76" si="476">+IF(N70=0,,CB70/N70*1.18*1000)</f>
        <v>0</v>
      </c>
      <c r="CS70" s="48">
        <f t="shared" ref="CS70:CS76" si="477">+IF(M70=0,,BW70/M70*1000)</f>
        <v>0</v>
      </c>
      <c r="CT70" s="48">
        <f t="shared" ref="CT70:CT76" si="478">+IF(M70=0,,CA70/M70*1000)</f>
        <v>0</v>
      </c>
      <c r="CU70" s="48">
        <f t="shared" ref="CU70:CU76" si="479">+IF((M70+M70)=0,,(CA70+BW70)/(M70+M70))*1000</f>
        <v>0</v>
      </c>
      <c r="CV70" s="48">
        <f t="shared" si="329"/>
        <v>0</v>
      </c>
      <c r="CW70" s="19">
        <f t="shared" ref="CW70:CW71" si="480">+((AI70*F70)/1.18+(G70*AK70)/1.18+(H70*AM70)/1.18)/1000</f>
        <v>0</v>
      </c>
      <c r="CX70" s="19">
        <f t="shared" ref="CX70:CX71" si="481">+((W70*F70)+(Y70*G70)+(AA70*H70))/1000</f>
        <v>0</v>
      </c>
      <c r="CY70" s="19">
        <f t="shared" ref="CY70:CY71" si="482">+((AQ70*O70)/1.18+(Q70*AT70)/1.18+(AR70*P70)/1.18)/1000</f>
        <v>0</v>
      </c>
      <c r="CZ70" s="19">
        <f t="shared" ref="CZ70:CZ71" si="483">+((AC70*O70)+(AF70*Q70)+(AD70*P70))/1000</f>
        <v>0</v>
      </c>
      <c r="DA70" s="21">
        <f t="shared" si="334"/>
        <v>0</v>
      </c>
      <c r="DB70" s="21">
        <f t="shared" si="335"/>
        <v>0</v>
      </c>
      <c r="DC70" s="79">
        <f t="shared" si="336"/>
        <v>0</v>
      </c>
      <c r="DD70" s="79">
        <f t="shared" si="336"/>
        <v>0</v>
      </c>
      <c r="DE70" s="79">
        <f t="shared" ref="DE70:DF76" si="484">+(O70+S70)*AC70/1000</f>
        <v>0</v>
      </c>
      <c r="DF70" s="79">
        <f t="shared" si="484"/>
        <v>0</v>
      </c>
      <c r="DG70" s="79">
        <f t="shared" ref="DG70:DG71" si="485">+AF70*(Q70+U70)/1000</f>
        <v>0</v>
      </c>
      <c r="DH70" s="51">
        <f t="shared" si="339"/>
        <v>0</v>
      </c>
      <c r="DI70" s="39"/>
      <c r="DJ70" s="80">
        <f t="shared" ref="DJ70:DJ76" si="486">+(F70+J70)*W70/1000</f>
        <v>0</v>
      </c>
      <c r="DK70" s="39">
        <f t="shared" ref="DK70:DK76" si="487">+Y70*(G70+K70)/1000</f>
        <v>0</v>
      </c>
      <c r="DL70" s="39">
        <f t="shared" ref="DL70:DL76" si="488">+(H70+L70)*AA70/1000</f>
        <v>0</v>
      </c>
      <c r="DM70" s="48">
        <f>+AT70-'[2]тарифы (12-13) население 15%'!AP112</f>
        <v>0</v>
      </c>
      <c r="DN70" s="39"/>
      <c r="DO70" s="39"/>
      <c r="DP70" s="39"/>
      <c r="DQ70" s="39"/>
      <c r="DR70" s="39"/>
      <c r="DS70" s="39"/>
      <c r="DT70" s="39"/>
      <c r="DU70" s="19">
        <f t="shared" si="444"/>
        <v>0</v>
      </c>
      <c r="DV70" s="40">
        <f t="shared" si="418"/>
        <v>0</v>
      </c>
      <c r="DW70" s="40">
        <f t="shared" si="419"/>
        <v>0</v>
      </c>
      <c r="DX70" s="46"/>
      <c r="DY70" s="21">
        <f t="shared" si="403"/>
        <v>0</v>
      </c>
      <c r="DZ70" s="19">
        <f t="shared" si="420"/>
        <v>0</v>
      </c>
      <c r="EA70" s="19">
        <f t="shared" si="421"/>
        <v>0</v>
      </c>
      <c r="EB70" s="19"/>
      <c r="EC70" s="48">
        <f t="shared" si="422"/>
        <v>0</v>
      </c>
      <c r="ED70" s="48">
        <f t="shared" si="423"/>
        <v>0</v>
      </c>
      <c r="EE70" s="22"/>
      <c r="EF70" s="22"/>
      <c r="EG70" s="22">
        <f t="shared" si="404"/>
        <v>0</v>
      </c>
      <c r="EH70" s="22"/>
      <c r="EI70" s="22"/>
      <c r="EJ70" s="22">
        <f t="shared" si="405"/>
        <v>0</v>
      </c>
      <c r="EK70" s="40"/>
      <c r="EL70" s="19"/>
      <c r="EM70" s="19"/>
      <c r="EN70" s="40">
        <f t="shared" si="424"/>
        <v>0</v>
      </c>
      <c r="EO70" s="40">
        <f t="shared" si="425"/>
        <v>0</v>
      </c>
      <c r="EP70" s="40"/>
      <c r="EQ70" s="21">
        <f t="shared" si="426"/>
        <v>0</v>
      </c>
      <c r="ER70" s="21"/>
      <c r="ES70" s="19">
        <f t="shared" si="442"/>
        <v>0</v>
      </c>
      <c r="ET70" s="19"/>
      <c r="EU70" s="19">
        <f t="shared" si="406"/>
        <v>0</v>
      </c>
      <c r="EV70" s="21"/>
      <c r="EW70" s="39"/>
      <c r="EX70" s="39">
        <f t="shared" si="407"/>
        <v>0</v>
      </c>
      <c r="EY70" s="39">
        <f t="shared" si="408"/>
        <v>0</v>
      </c>
      <c r="EZ70" s="39"/>
      <c r="FA70" s="39"/>
      <c r="FB70" s="39"/>
      <c r="FC70" s="39"/>
      <c r="FD70" s="39"/>
      <c r="FE70" s="39"/>
      <c r="FF70" s="39"/>
      <c r="FG70" s="39"/>
      <c r="FH70" s="39"/>
      <c r="FI70" s="39"/>
      <c r="FJ70" s="19">
        <f t="shared" si="427"/>
        <v>0</v>
      </c>
      <c r="FK70" s="19">
        <f t="shared" si="428"/>
        <v>0</v>
      </c>
      <c r="FL70" s="19">
        <f t="shared" si="429"/>
        <v>0</v>
      </c>
      <c r="FM70" s="19"/>
      <c r="FN70" s="19"/>
      <c r="FO70" s="22"/>
      <c r="FP70" s="22"/>
      <c r="FQ70" s="22"/>
      <c r="FR70" s="22"/>
      <c r="FS70" s="22"/>
      <c r="FT70" s="22">
        <f t="shared" si="443"/>
        <v>0</v>
      </c>
      <c r="FU70" s="40"/>
      <c r="FV70" s="19"/>
      <c r="FW70" s="19"/>
      <c r="FX70" s="19"/>
      <c r="FY70" s="19"/>
      <c r="FZ70" s="19"/>
      <c r="GA70" s="19"/>
      <c r="GB70" s="19"/>
      <c r="GC70" s="20"/>
      <c r="GD70" s="20"/>
      <c r="GE70" s="19"/>
      <c r="GF70" s="21"/>
      <c r="GG70" s="19"/>
      <c r="GH70" s="19"/>
      <c r="GI70" s="19"/>
      <c r="GJ70" s="21"/>
      <c r="GK70" s="19"/>
      <c r="GL70" s="19"/>
      <c r="GM70" s="19"/>
      <c r="GN70" s="19"/>
      <c r="GO70" s="22"/>
      <c r="GP70" s="22"/>
      <c r="GQ70" s="22"/>
      <c r="GR70" s="22"/>
      <c r="GS70" s="22"/>
      <c r="GT70" s="22"/>
      <c r="GU70" s="43"/>
      <c r="GV70" s="19"/>
      <c r="GW70" s="19"/>
      <c r="GX70" s="19"/>
      <c r="GY70" s="19"/>
      <c r="GZ70" s="23"/>
      <c r="HA70" s="22"/>
      <c r="HB70" s="22"/>
      <c r="HC70" s="22"/>
      <c r="HD70" s="22"/>
      <c r="HE70" s="22"/>
      <c r="HF70" s="22"/>
      <c r="HG70" s="233"/>
    </row>
    <row r="71" spans="2:215" ht="15.75">
      <c r="B71" s="10"/>
      <c r="C71" s="161" t="s">
        <v>204</v>
      </c>
      <c r="D71" s="82">
        <f>+E71+I71</f>
        <v>1126.9499999999998</v>
      </c>
      <c r="E71" s="73">
        <v>319.25</v>
      </c>
      <c r="F71" s="74"/>
      <c r="G71" s="74"/>
      <c r="H71" s="74">
        <f>+E71</f>
        <v>319.25</v>
      </c>
      <c r="I71" s="75">
        <f>185.66+622.04</f>
        <v>807.69999999999993</v>
      </c>
      <c r="J71" s="73"/>
      <c r="K71" s="73"/>
      <c r="L71" s="75">
        <f>+I71</f>
        <v>807.69999999999993</v>
      </c>
      <c r="M71" s="82">
        <f>+N71+R71</f>
        <v>3252.59</v>
      </c>
      <c r="N71" s="75">
        <f>+O71+P71+Q71</f>
        <v>921.39999999999986</v>
      </c>
      <c r="O71" s="74">
        <v>427.54999999999995</v>
      </c>
      <c r="P71" s="74">
        <v>50.12</v>
      </c>
      <c r="Q71" s="74">
        <v>443.72999999999996</v>
      </c>
      <c r="R71" s="75">
        <f>+S71+T71+U71</f>
        <v>2331.19</v>
      </c>
      <c r="S71" s="74">
        <v>1435.8</v>
      </c>
      <c r="T71" s="74">
        <v>2.5099999999999998</v>
      </c>
      <c r="U71" s="74">
        <v>892.88</v>
      </c>
      <c r="V71" s="52"/>
      <c r="W71" s="52"/>
      <c r="X71" s="52"/>
      <c r="Y71" s="52"/>
      <c r="Z71" s="22"/>
      <c r="AA71" s="52">
        <v>3704.78</v>
      </c>
      <c r="AB71" s="22"/>
      <c r="AC71" s="52">
        <v>3704.78</v>
      </c>
      <c r="AD71" s="52">
        <v>3704.78</v>
      </c>
      <c r="AE71" s="22"/>
      <c r="AF71" s="52">
        <v>3704.78</v>
      </c>
      <c r="AG71" s="22">
        <f t="shared" si="445"/>
        <v>100</v>
      </c>
      <c r="AH71" s="52"/>
      <c r="AI71" s="52"/>
      <c r="AJ71" s="52"/>
      <c r="AK71" s="52"/>
      <c r="AL71" s="22"/>
      <c r="AM71" s="52">
        <v>1899.68</v>
      </c>
      <c r="AN71" s="22"/>
      <c r="AO71" s="22"/>
      <c r="AP71" s="22"/>
      <c r="AQ71" s="52">
        <v>1899.68</v>
      </c>
      <c r="AR71" s="52">
        <v>1899.68</v>
      </c>
      <c r="AS71" s="22"/>
      <c r="AT71" s="22">
        <v>2121.94</v>
      </c>
      <c r="AU71" s="22">
        <f t="shared" si="446"/>
        <v>111.69986524046156</v>
      </c>
      <c r="AV71" s="77"/>
      <c r="AW71" s="77">
        <f>+CY71/$CY$65*100</f>
        <v>100</v>
      </c>
      <c r="AX71" s="78" t="s">
        <v>219</v>
      </c>
      <c r="AY71" s="22">
        <f t="shared" si="415"/>
        <v>3.2539000000000002</v>
      </c>
      <c r="AZ71" s="22">
        <f>+[7]БПр!$BX$1620/1000</f>
        <v>0.97859299999999949</v>
      </c>
      <c r="BA71" s="22">
        <f>+[7]БПр!$BW$1620/1000</f>
        <v>1.8710100000000005</v>
      </c>
      <c r="BB71" s="22">
        <f>+[7]БПр!$BY$1620/1000</f>
        <v>0.40429700000000002</v>
      </c>
      <c r="BC71" s="52">
        <v>3704.78</v>
      </c>
      <c r="BD71" s="52">
        <f>+BC71</f>
        <v>3704.78</v>
      </c>
      <c r="BE71" s="22">
        <f t="shared" si="416"/>
        <v>100</v>
      </c>
      <c r="BF71" s="52">
        <v>2121.94</v>
      </c>
      <c r="BG71" s="52">
        <v>2211.06</v>
      </c>
      <c r="BH71" s="22">
        <f t="shared" si="417"/>
        <v>104.19993025250479</v>
      </c>
      <c r="BI71" s="22"/>
      <c r="BJ71" s="40" t="s">
        <v>220</v>
      </c>
      <c r="BK71" s="19">
        <f t="shared" si="353"/>
        <v>0</v>
      </c>
      <c r="BL71" s="19">
        <f t="shared" si="447"/>
        <v>0</v>
      </c>
      <c r="BM71" s="19">
        <f t="shared" si="448"/>
        <v>0</v>
      </c>
      <c r="BN71" s="19">
        <f t="shared" si="449"/>
        <v>0</v>
      </c>
      <c r="BO71" s="19">
        <f t="shared" si="354"/>
        <v>0</v>
      </c>
      <c r="BP71" s="19">
        <f t="shared" si="450"/>
        <v>0</v>
      </c>
      <c r="BQ71" s="19">
        <f t="shared" si="451"/>
        <v>0</v>
      </c>
      <c r="BR71" s="19">
        <f t="shared" si="452"/>
        <v>0</v>
      </c>
      <c r="BS71" s="19">
        <f t="shared" si="355"/>
        <v>4175.1012798983047</v>
      </c>
      <c r="BT71" s="19">
        <f t="shared" si="453"/>
        <v>513.96003389830514</v>
      </c>
      <c r="BU71" s="19">
        <f t="shared" si="454"/>
        <v>668.7904400000001</v>
      </c>
      <c r="BV71" s="19">
        <f t="shared" si="455"/>
        <v>2992.3508059999999</v>
      </c>
      <c r="BW71" s="19">
        <f t="shared" si="456"/>
        <v>12050.128818505085</v>
      </c>
      <c r="BX71" s="19">
        <f t="shared" si="457"/>
        <v>1483.3602983050846</v>
      </c>
      <c r="BY71" s="19">
        <f t="shared" si="458"/>
        <v>1930.2224319999998</v>
      </c>
      <c r="BZ71" s="19">
        <f t="shared" si="459"/>
        <v>8636.5460882000007</v>
      </c>
      <c r="CA71" s="19">
        <f t="shared" si="460"/>
        <v>12050.134284437288</v>
      </c>
      <c r="CB71" s="19">
        <f t="shared" si="461"/>
        <v>1656.9114542372881</v>
      </c>
      <c r="CC71" s="19">
        <f t="shared" si="462"/>
        <v>1756.6767419999999</v>
      </c>
      <c r="CD71" s="19">
        <f t="shared" si="463"/>
        <v>8636.5460882000007</v>
      </c>
      <c r="CE71" s="48">
        <f t="shared" si="464"/>
        <v>0</v>
      </c>
      <c r="CF71" s="48">
        <f t="shared" si="465"/>
        <v>0</v>
      </c>
      <c r="CG71" s="48">
        <f t="shared" si="466"/>
        <v>3704.78</v>
      </c>
      <c r="CH71" s="48">
        <f t="shared" si="467"/>
        <v>0</v>
      </c>
      <c r="CI71" s="48">
        <f t="shared" si="468"/>
        <v>0</v>
      </c>
      <c r="CJ71" s="48">
        <f t="shared" si="469"/>
        <v>1899.68</v>
      </c>
      <c r="CK71" s="48">
        <f t="shared" si="470"/>
        <v>0</v>
      </c>
      <c r="CL71" s="48">
        <f t="shared" si="471"/>
        <v>0</v>
      </c>
      <c r="CM71" s="48">
        <f t="shared" si="472"/>
        <v>3704.7795198529707</v>
      </c>
      <c r="CN71" s="48">
        <f>+BS71/D71*1000</f>
        <v>3704.7795198529707</v>
      </c>
      <c r="CO71" s="48">
        <f t="shared" si="473"/>
        <v>3704.78</v>
      </c>
      <c r="CP71" s="48">
        <f t="shared" si="474"/>
        <v>3704.78</v>
      </c>
      <c r="CQ71" s="48">
        <f t="shared" si="475"/>
        <v>1899.6799999999998</v>
      </c>
      <c r="CR71" s="48">
        <f t="shared" si="476"/>
        <v>2121.9400000000005</v>
      </c>
      <c r="CS71" s="48">
        <f t="shared" si="477"/>
        <v>3704.7795198611216</v>
      </c>
      <c r="CT71" s="48">
        <f t="shared" si="478"/>
        <v>3704.7812003471968</v>
      </c>
      <c r="CU71" s="48">
        <f t="shared" si="479"/>
        <v>3704.7803601041583</v>
      </c>
      <c r="CV71" s="48">
        <f t="shared" si="329"/>
        <v>100.00002268019415</v>
      </c>
      <c r="CW71" s="19">
        <f t="shared" si="480"/>
        <v>513.96003389830514</v>
      </c>
      <c r="CX71" s="19">
        <f t="shared" si="481"/>
        <v>1182.7510150000001</v>
      </c>
      <c r="CY71" s="19">
        <f t="shared" si="482"/>
        <v>1566.9394761016952</v>
      </c>
      <c r="CZ71" s="19">
        <f t="shared" si="483"/>
        <v>3413.5842919999996</v>
      </c>
      <c r="DA71" s="21">
        <f t="shared" si="334"/>
        <v>43.45462632287871</v>
      </c>
      <c r="DB71" s="21">
        <f t="shared" si="335"/>
        <v>45.903055031450073</v>
      </c>
      <c r="DC71" s="79">
        <f t="shared" si="336"/>
        <v>304.87574378433828</v>
      </c>
      <c r="DD71" s="79">
        <f t="shared" si="336"/>
        <v>288.61393891934216</v>
      </c>
      <c r="DE71" s="79">
        <f t="shared" si="484"/>
        <v>6903.301813</v>
      </c>
      <c r="DF71" s="79">
        <f t="shared" si="484"/>
        <v>194.98257139999998</v>
      </c>
      <c r="DG71" s="79">
        <f t="shared" si="485"/>
        <v>4951.8459957999994</v>
      </c>
      <c r="DH71" s="51">
        <f t="shared" si="339"/>
        <v>12050.1303802</v>
      </c>
      <c r="DI71" s="39"/>
      <c r="DJ71" s="80">
        <f t="shared" si="486"/>
        <v>0</v>
      </c>
      <c r="DK71" s="39">
        <f t="shared" si="487"/>
        <v>0</v>
      </c>
      <c r="DL71" s="39">
        <f t="shared" si="488"/>
        <v>4175.1018209999993</v>
      </c>
      <c r="DM71" s="48">
        <f>+AT71-'[2]тарифы (12-13) население 15%'!AP113</f>
        <v>-62.690000000000055</v>
      </c>
      <c r="DN71" s="39"/>
      <c r="DO71" s="39"/>
      <c r="DP71" s="39"/>
      <c r="DQ71" s="39"/>
      <c r="DR71" s="39"/>
      <c r="DS71" s="39"/>
      <c r="DT71" s="39"/>
      <c r="DU71" s="19">
        <f t="shared" si="444"/>
        <v>1759.7590088305078</v>
      </c>
      <c r="DV71" s="40">
        <f t="shared" si="418"/>
        <v>1833.6676598135582</v>
      </c>
      <c r="DW71" s="40">
        <f t="shared" si="419"/>
        <v>3625.4717745399985</v>
      </c>
      <c r="DX71" s="21">
        <f>+'[1]тарифы (НВВ) население на 4,2%'!CO117</f>
        <v>45.903055031450073</v>
      </c>
      <c r="DY71" s="21">
        <f t="shared" si="403"/>
        <v>50.57735306865586</v>
      </c>
      <c r="DZ71" s="19">
        <f t="shared" si="420"/>
        <v>12.054983642000002</v>
      </c>
      <c r="EA71" s="19">
        <f t="shared" si="421"/>
        <v>12.054983642000002</v>
      </c>
      <c r="EB71" s="19"/>
      <c r="EC71" s="48">
        <f>+(BC71-BF71/1.18)*AZ71</f>
        <v>1865.7127657094907</v>
      </c>
      <c r="ED71" s="48">
        <f>+(BD71-BG71/1.18)*AZ71</f>
        <v>1791.80411472644</v>
      </c>
      <c r="EE71" s="52">
        <v>3704.78</v>
      </c>
      <c r="EF71" s="52">
        <v>3704.78</v>
      </c>
      <c r="EG71" s="22">
        <f t="shared" si="404"/>
        <v>100</v>
      </c>
      <c r="EH71" s="52">
        <v>2211.06</v>
      </c>
      <c r="EI71" s="52">
        <v>2397.89</v>
      </c>
      <c r="EJ71" s="22">
        <f t="shared" si="405"/>
        <v>108.44979331180519</v>
      </c>
      <c r="EK71" s="40" t="s">
        <v>221</v>
      </c>
      <c r="EL71" s="19">
        <v>3.254</v>
      </c>
      <c r="EM71" s="19">
        <v>0.93</v>
      </c>
      <c r="EN71" s="40">
        <f t="shared" si="424"/>
        <v>1889.8624576271186</v>
      </c>
      <c r="EO71" s="40">
        <f t="shared" si="425"/>
        <v>3445.4454000000005</v>
      </c>
      <c r="EP71" s="40"/>
      <c r="EQ71" s="21">
        <f t="shared" si="426"/>
        <v>54.851034865539248</v>
      </c>
      <c r="ER71" s="21"/>
      <c r="ES71" s="19">
        <f t="shared" si="442"/>
        <v>12055.35412</v>
      </c>
      <c r="ET71" s="19"/>
      <c r="EU71" s="19">
        <f t="shared" si="406"/>
        <v>12055.35412</v>
      </c>
      <c r="EV71" s="21"/>
      <c r="EW71" s="39"/>
      <c r="EX71" s="39">
        <f t="shared" si="407"/>
        <v>12054.983642000001</v>
      </c>
      <c r="EY71" s="39">
        <f t="shared" si="408"/>
        <v>12054.983642000001</v>
      </c>
      <c r="EZ71" s="39"/>
      <c r="FA71" s="39"/>
      <c r="FB71" s="39"/>
      <c r="FC71" s="39"/>
      <c r="FD71" s="39"/>
      <c r="FE71" s="39"/>
      <c r="FF71" s="39"/>
      <c r="FG71" s="39"/>
      <c r="FH71" s="39"/>
      <c r="FI71" s="39"/>
      <c r="FJ71" s="19">
        <f t="shared" si="427"/>
        <v>1702.8303152542376</v>
      </c>
      <c r="FK71" s="19">
        <f t="shared" si="428"/>
        <v>1555.5829423728817</v>
      </c>
      <c r="FL71" s="19">
        <f t="shared" si="429"/>
        <v>3258.4132576271195</v>
      </c>
      <c r="FM71" s="19">
        <v>3.242</v>
      </c>
      <c r="FN71" s="19">
        <v>0.8</v>
      </c>
      <c r="FO71" s="52">
        <v>1678.49</v>
      </c>
      <c r="FP71" s="52">
        <v>1678.49</v>
      </c>
      <c r="FQ71" s="22"/>
      <c r="FR71" s="52">
        <v>2014.19</v>
      </c>
      <c r="FS71" s="22">
        <v>2014.19</v>
      </c>
      <c r="FT71" s="22">
        <f t="shared" si="443"/>
        <v>100</v>
      </c>
      <c r="FU71" s="40" t="s">
        <v>656</v>
      </c>
      <c r="FV71" s="19"/>
      <c r="FW71" s="19"/>
      <c r="FX71" s="19"/>
      <c r="FY71" s="19"/>
      <c r="FZ71" s="19"/>
      <c r="GA71" s="19"/>
      <c r="GB71" s="19"/>
      <c r="GC71" s="20"/>
      <c r="GD71" s="20"/>
      <c r="GE71" s="19"/>
      <c r="GF71" s="21"/>
      <c r="GG71" s="19"/>
      <c r="GH71" s="19"/>
      <c r="GI71" s="19"/>
      <c r="GJ71" s="21"/>
      <c r="GK71" s="19"/>
      <c r="GL71" s="19"/>
      <c r="GM71" s="19"/>
      <c r="GN71" s="19"/>
      <c r="GO71" s="52">
        <v>1721.41</v>
      </c>
      <c r="GP71" s="52">
        <v>1712.09</v>
      </c>
      <c r="GQ71" s="22"/>
      <c r="GR71" s="22">
        <v>2031.26</v>
      </c>
      <c r="GS71" s="22">
        <v>2020.27</v>
      </c>
      <c r="GT71" s="22"/>
      <c r="GU71" s="40" t="s">
        <v>656</v>
      </c>
      <c r="GV71" s="19"/>
      <c r="GW71" s="19"/>
      <c r="GX71" s="19"/>
      <c r="GY71" s="19"/>
      <c r="GZ71" s="23"/>
      <c r="HA71" s="22" t="s">
        <v>633</v>
      </c>
      <c r="HB71" s="22" t="s">
        <v>633</v>
      </c>
      <c r="HC71" s="22"/>
      <c r="HD71" s="22" t="s">
        <v>633</v>
      </c>
      <c r="HE71" s="22" t="s">
        <v>633</v>
      </c>
      <c r="HF71" s="22"/>
      <c r="HG71" s="233" t="s">
        <v>633</v>
      </c>
    </row>
    <row r="72" spans="2:215" ht="15.75">
      <c r="B72" s="10" t="s">
        <v>222</v>
      </c>
      <c r="C72" s="81" t="s">
        <v>607</v>
      </c>
      <c r="D72" s="82"/>
      <c r="E72" s="73"/>
      <c r="F72" s="74"/>
      <c r="G72" s="74"/>
      <c r="H72" s="74"/>
      <c r="I72" s="75"/>
      <c r="J72" s="73"/>
      <c r="K72" s="73"/>
      <c r="L72" s="75"/>
      <c r="M72" s="82"/>
      <c r="N72" s="75"/>
      <c r="O72" s="74"/>
      <c r="P72" s="74"/>
      <c r="Q72" s="74"/>
      <c r="R72" s="75"/>
      <c r="S72" s="74"/>
      <c r="T72" s="74"/>
      <c r="U72" s="74"/>
      <c r="V72" s="52"/>
      <c r="W72" s="52"/>
      <c r="X72" s="52"/>
      <c r="Y72" s="52"/>
      <c r="Z72" s="22"/>
      <c r="AA72" s="52"/>
      <c r="AB72" s="22"/>
      <c r="AC72" s="52"/>
      <c r="AD72" s="52"/>
      <c r="AE72" s="22"/>
      <c r="AF72" s="52"/>
      <c r="AG72" s="22"/>
      <c r="AH72" s="52"/>
      <c r="AI72" s="52"/>
      <c r="AJ72" s="52"/>
      <c r="AK72" s="52"/>
      <c r="AL72" s="22"/>
      <c r="AM72" s="52"/>
      <c r="AN72" s="22"/>
      <c r="AO72" s="22"/>
      <c r="AP72" s="22"/>
      <c r="AQ72" s="52"/>
      <c r="AR72" s="52"/>
      <c r="AS72" s="22"/>
      <c r="AT72" s="22"/>
      <c r="AU72" s="22"/>
      <c r="AV72" s="77"/>
      <c r="AW72" s="77"/>
      <c r="AX72" s="78"/>
      <c r="AY72" s="22"/>
      <c r="AZ72" s="22"/>
      <c r="BA72" s="22"/>
      <c r="BB72" s="22"/>
      <c r="BC72" s="52"/>
      <c r="BD72" s="52"/>
      <c r="BE72" s="22"/>
      <c r="BF72" s="52"/>
      <c r="BG72" s="52"/>
      <c r="BH72" s="22"/>
      <c r="BI72" s="22"/>
      <c r="BJ72" s="40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19"/>
      <c r="CX72" s="19"/>
      <c r="CY72" s="19"/>
      <c r="CZ72" s="19"/>
      <c r="DA72" s="21"/>
      <c r="DB72" s="21"/>
      <c r="DC72" s="79"/>
      <c r="DD72" s="79"/>
      <c r="DE72" s="79"/>
      <c r="DF72" s="79"/>
      <c r="DG72" s="79"/>
      <c r="DH72" s="51"/>
      <c r="DI72" s="39"/>
      <c r="DJ72" s="80"/>
      <c r="DK72" s="39"/>
      <c r="DL72" s="39"/>
      <c r="DM72" s="48"/>
      <c r="DN72" s="39"/>
      <c r="DO72" s="39"/>
      <c r="DP72" s="39"/>
      <c r="DQ72" s="39"/>
      <c r="DR72" s="39"/>
      <c r="DS72" s="39"/>
      <c r="DT72" s="39"/>
      <c r="DU72" s="19"/>
      <c r="DV72" s="40"/>
      <c r="DW72" s="40"/>
      <c r="DX72" s="21"/>
      <c r="DY72" s="21"/>
      <c r="DZ72" s="19"/>
      <c r="EA72" s="19"/>
      <c r="EB72" s="19"/>
      <c r="EC72" s="48"/>
      <c r="ED72" s="48"/>
      <c r="EE72" s="52"/>
      <c r="EF72" s="52"/>
      <c r="EG72" s="22"/>
      <c r="EH72" s="52"/>
      <c r="EI72" s="52"/>
      <c r="EJ72" s="22"/>
      <c r="EK72" s="40"/>
      <c r="EL72" s="19"/>
      <c r="EM72" s="19"/>
      <c r="EN72" s="40"/>
      <c r="EO72" s="40"/>
      <c r="EP72" s="40"/>
      <c r="EQ72" s="21"/>
      <c r="ER72" s="21"/>
      <c r="ES72" s="19"/>
      <c r="ET72" s="19"/>
      <c r="EU72" s="19"/>
      <c r="EV72" s="21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19"/>
      <c r="FK72" s="19"/>
      <c r="FL72" s="19"/>
      <c r="FM72" s="19"/>
      <c r="FN72" s="19"/>
      <c r="FO72" s="52"/>
      <c r="FP72" s="52"/>
      <c r="FQ72" s="22"/>
      <c r="FR72" s="52"/>
      <c r="FS72" s="22"/>
      <c r="FT72" s="22"/>
      <c r="FU72" s="40"/>
      <c r="FV72" s="19"/>
      <c r="FW72" s="19"/>
      <c r="FX72" s="19"/>
      <c r="FY72" s="19"/>
      <c r="FZ72" s="19"/>
      <c r="GA72" s="19"/>
      <c r="GB72" s="19"/>
      <c r="GC72" s="20"/>
      <c r="GD72" s="20"/>
      <c r="GE72" s="19"/>
      <c r="GF72" s="21"/>
      <c r="GG72" s="19"/>
      <c r="GH72" s="19"/>
      <c r="GI72" s="19"/>
      <c r="GJ72" s="21"/>
      <c r="GK72" s="19"/>
      <c r="GL72" s="19"/>
      <c r="GM72" s="19"/>
      <c r="GN72" s="19"/>
      <c r="GO72" s="52"/>
      <c r="GP72" s="52"/>
      <c r="GQ72" s="22"/>
      <c r="GR72" s="22"/>
      <c r="GS72" s="22"/>
      <c r="GT72" s="22"/>
      <c r="GU72" s="43"/>
      <c r="GV72" s="19"/>
      <c r="GW72" s="19"/>
      <c r="GX72" s="19"/>
      <c r="GY72" s="19"/>
      <c r="GZ72" s="23"/>
      <c r="HA72" s="52"/>
      <c r="HB72" s="52"/>
      <c r="HC72" s="22"/>
      <c r="HD72" s="52"/>
      <c r="HE72" s="22"/>
      <c r="HF72" s="22"/>
      <c r="HG72" s="233"/>
    </row>
    <row r="73" spans="2:215" ht="15.75">
      <c r="B73" s="10"/>
      <c r="C73" s="161" t="s">
        <v>153</v>
      </c>
      <c r="D73" s="82"/>
      <c r="E73" s="73"/>
      <c r="F73" s="74"/>
      <c r="G73" s="74"/>
      <c r="H73" s="74"/>
      <c r="I73" s="75"/>
      <c r="J73" s="73"/>
      <c r="K73" s="73"/>
      <c r="L73" s="75"/>
      <c r="M73" s="82"/>
      <c r="N73" s="75"/>
      <c r="O73" s="74"/>
      <c r="P73" s="74"/>
      <c r="Q73" s="74"/>
      <c r="R73" s="75"/>
      <c r="S73" s="74"/>
      <c r="T73" s="74"/>
      <c r="U73" s="74"/>
      <c r="V73" s="52"/>
      <c r="W73" s="52"/>
      <c r="X73" s="52"/>
      <c r="Y73" s="52"/>
      <c r="Z73" s="22"/>
      <c r="AA73" s="52"/>
      <c r="AB73" s="22"/>
      <c r="AC73" s="52"/>
      <c r="AD73" s="52"/>
      <c r="AE73" s="22"/>
      <c r="AF73" s="52"/>
      <c r="AG73" s="22"/>
      <c r="AH73" s="52"/>
      <c r="AI73" s="52"/>
      <c r="AJ73" s="52"/>
      <c r="AK73" s="52"/>
      <c r="AL73" s="22"/>
      <c r="AM73" s="52"/>
      <c r="AN73" s="22"/>
      <c r="AO73" s="22"/>
      <c r="AP73" s="22"/>
      <c r="AQ73" s="52"/>
      <c r="AR73" s="52"/>
      <c r="AS73" s="22"/>
      <c r="AT73" s="22"/>
      <c r="AU73" s="22"/>
      <c r="AV73" s="77"/>
      <c r="AW73" s="77"/>
      <c r="AX73" s="78"/>
      <c r="AY73" s="22"/>
      <c r="AZ73" s="22"/>
      <c r="BA73" s="22"/>
      <c r="BB73" s="22"/>
      <c r="BC73" s="52"/>
      <c r="BD73" s="52"/>
      <c r="BE73" s="22"/>
      <c r="BF73" s="52"/>
      <c r="BG73" s="52"/>
      <c r="BH73" s="22"/>
      <c r="BI73" s="22"/>
      <c r="BJ73" s="40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19"/>
      <c r="CX73" s="19"/>
      <c r="CY73" s="19"/>
      <c r="CZ73" s="19"/>
      <c r="DA73" s="21"/>
      <c r="DB73" s="21"/>
      <c r="DC73" s="79"/>
      <c r="DD73" s="79"/>
      <c r="DE73" s="79"/>
      <c r="DF73" s="79"/>
      <c r="DG73" s="79"/>
      <c r="DH73" s="51"/>
      <c r="DI73" s="39"/>
      <c r="DJ73" s="80"/>
      <c r="DK73" s="39"/>
      <c r="DL73" s="39"/>
      <c r="DM73" s="48"/>
      <c r="DN73" s="39"/>
      <c r="DO73" s="39"/>
      <c r="DP73" s="39"/>
      <c r="DQ73" s="39"/>
      <c r="DR73" s="39"/>
      <c r="DS73" s="39"/>
      <c r="DT73" s="39"/>
      <c r="DU73" s="19"/>
      <c r="DV73" s="40"/>
      <c r="DW73" s="40"/>
      <c r="DX73" s="21"/>
      <c r="DY73" s="21"/>
      <c r="DZ73" s="19"/>
      <c r="EA73" s="19"/>
      <c r="EB73" s="19"/>
      <c r="EC73" s="48"/>
      <c r="ED73" s="48"/>
      <c r="EE73" s="52"/>
      <c r="EF73" s="52"/>
      <c r="EG73" s="22"/>
      <c r="EH73" s="52"/>
      <c r="EI73" s="52"/>
      <c r="EJ73" s="22"/>
      <c r="EK73" s="40"/>
      <c r="EL73" s="19"/>
      <c r="EM73" s="19"/>
      <c r="EN73" s="40"/>
      <c r="EO73" s="40"/>
      <c r="EP73" s="40"/>
      <c r="EQ73" s="21"/>
      <c r="ER73" s="21"/>
      <c r="ES73" s="19"/>
      <c r="ET73" s="19"/>
      <c r="EU73" s="19"/>
      <c r="EV73" s="21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19"/>
      <c r="FK73" s="19"/>
      <c r="FL73" s="19"/>
      <c r="FM73" s="19"/>
      <c r="FN73" s="19"/>
      <c r="FO73" s="52">
        <v>9959.61</v>
      </c>
      <c r="FP73" s="52">
        <v>10382.51</v>
      </c>
      <c r="FQ73" s="22"/>
      <c r="FR73" s="52" t="s">
        <v>633</v>
      </c>
      <c r="FS73" s="22" t="s">
        <v>633</v>
      </c>
      <c r="FT73" s="22"/>
      <c r="FU73" s="40" t="s">
        <v>657</v>
      </c>
      <c r="FV73" s="19"/>
      <c r="FW73" s="19"/>
      <c r="FX73" s="19"/>
      <c r="FY73" s="19"/>
      <c r="FZ73" s="19"/>
      <c r="GA73" s="19"/>
      <c r="GB73" s="19"/>
      <c r="GC73" s="20"/>
      <c r="GD73" s="20"/>
      <c r="GE73" s="19"/>
      <c r="GF73" s="21"/>
      <c r="GG73" s="19"/>
      <c r="GH73" s="19"/>
      <c r="GI73" s="19"/>
      <c r="GJ73" s="21"/>
      <c r="GK73" s="19"/>
      <c r="GL73" s="19"/>
      <c r="GM73" s="19"/>
      <c r="GN73" s="19"/>
      <c r="GO73" s="22">
        <v>10382.51</v>
      </c>
      <c r="GP73" s="22">
        <v>10697.6</v>
      </c>
      <c r="GQ73" s="22"/>
      <c r="GR73" s="22" t="s">
        <v>633</v>
      </c>
      <c r="GS73" s="22" t="s">
        <v>633</v>
      </c>
      <c r="GT73" s="22"/>
      <c r="GU73" s="40" t="s">
        <v>657</v>
      </c>
      <c r="GV73" s="19"/>
      <c r="GW73" s="19"/>
      <c r="GX73" s="19"/>
      <c r="GY73" s="19"/>
      <c r="GZ73" s="23"/>
      <c r="HA73" s="22">
        <v>10697.6</v>
      </c>
      <c r="HB73" s="22">
        <v>11037.88</v>
      </c>
      <c r="HC73" s="22"/>
      <c r="HD73" s="52" t="s">
        <v>633</v>
      </c>
      <c r="HE73" s="22" t="s">
        <v>633</v>
      </c>
      <c r="HF73" s="22"/>
      <c r="HG73" s="236" t="s">
        <v>657</v>
      </c>
    </row>
    <row r="74" spans="2:215" ht="15.75">
      <c r="B74" s="15"/>
      <c r="C74" s="81" t="s">
        <v>636</v>
      </c>
      <c r="D74" s="82"/>
      <c r="E74" s="73"/>
      <c r="F74" s="74"/>
      <c r="G74" s="74"/>
      <c r="H74" s="74"/>
      <c r="I74" s="75"/>
      <c r="J74" s="73"/>
      <c r="K74" s="73"/>
      <c r="L74" s="75"/>
      <c r="M74" s="82"/>
      <c r="N74" s="75"/>
      <c r="O74" s="74"/>
      <c r="P74" s="74"/>
      <c r="Q74" s="74"/>
      <c r="R74" s="75"/>
      <c r="S74" s="74"/>
      <c r="T74" s="74"/>
      <c r="U74" s="74"/>
      <c r="V74" s="52"/>
      <c r="W74" s="52"/>
      <c r="X74" s="52"/>
      <c r="Y74" s="52"/>
      <c r="Z74" s="22"/>
      <c r="AA74" s="52"/>
      <c r="AB74" s="22"/>
      <c r="AC74" s="52"/>
      <c r="AD74" s="52"/>
      <c r="AE74" s="22"/>
      <c r="AF74" s="52"/>
      <c r="AG74" s="22"/>
      <c r="AH74" s="52"/>
      <c r="AI74" s="52"/>
      <c r="AJ74" s="52"/>
      <c r="AK74" s="52"/>
      <c r="AL74" s="22"/>
      <c r="AM74" s="52"/>
      <c r="AN74" s="22"/>
      <c r="AO74" s="22"/>
      <c r="AP74" s="22"/>
      <c r="AQ74" s="52"/>
      <c r="AR74" s="52"/>
      <c r="AS74" s="22"/>
      <c r="AT74" s="22"/>
      <c r="AU74" s="22"/>
      <c r="AV74" s="77"/>
      <c r="AW74" s="77"/>
      <c r="AX74" s="78"/>
      <c r="AY74" s="22"/>
      <c r="AZ74" s="22"/>
      <c r="BA74" s="22"/>
      <c r="BB74" s="22"/>
      <c r="BC74" s="52"/>
      <c r="BD74" s="52"/>
      <c r="BE74" s="22"/>
      <c r="BF74" s="52"/>
      <c r="BG74" s="52"/>
      <c r="BH74" s="22"/>
      <c r="BI74" s="22"/>
      <c r="BJ74" s="40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19"/>
      <c r="CX74" s="19"/>
      <c r="CY74" s="19"/>
      <c r="CZ74" s="19"/>
      <c r="DA74" s="21"/>
      <c r="DB74" s="21"/>
      <c r="DC74" s="79"/>
      <c r="DD74" s="79"/>
      <c r="DE74" s="79"/>
      <c r="DF74" s="79"/>
      <c r="DG74" s="79"/>
      <c r="DH74" s="51"/>
      <c r="DI74" s="39"/>
      <c r="DJ74" s="80"/>
      <c r="DK74" s="39"/>
      <c r="DL74" s="39"/>
      <c r="DM74" s="48"/>
      <c r="DN74" s="39"/>
      <c r="DO74" s="39"/>
      <c r="DP74" s="39"/>
      <c r="DQ74" s="39"/>
      <c r="DR74" s="39"/>
      <c r="DS74" s="39"/>
      <c r="DT74" s="39"/>
      <c r="DU74" s="19"/>
      <c r="DV74" s="40"/>
      <c r="DW74" s="40"/>
      <c r="DX74" s="21"/>
      <c r="DY74" s="21"/>
      <c r="DZ74" s="19"/>
      <c r="EA74" s="19"/>
      <c r="EB74" s="19"/>
      <c r="EC74" s="48"/>
      <c r="ED74" s="48"/>
      <c r="EE74" s="52"/>
      <c r="EF74" s="52"/>
      <c r="EG74" s="22"/>
      <c r="EH74" s="52"/>
      <c r="EI74" s="52"/>
      <c r="EJ74" s="22"/>
      <c r="EK74" s="40"/>
      <c r="EL74" s="19"/>
      <c r="EM74" s="19"/>
      <c r="EN74" s="40"/>
      <c r="EO74" s="40"/>
      <c r="EP74" s="40"/>
      <c r="EQ74" s="21"/>
      <c r="ER74" s="21"/>
      <c r="ES74" s="19"/>
      <c r="ET74" s="19"/>
      <c r="EU74" s="19"/>
      <c r="EV74" s="21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19"/>
      <c r="FK74" s="19"/>
      <c r="FL74" s="19"/>
      <c r="FM74" s="19"/>
      <c r="FN74" s="19"/>
      <c r="FO74" s="52"/>
      <c r="FP74" s="52"/>
      <c r="FQ74" s="22"/>
      <c r="FR74" s="52"/>
      <c r="FS74" s="22"/>
      <c r="FT74" s="22"/>
      <c r="FU74" s="40"/>
      <c r="FV74" s="19"/>
      <c r="FW74" s="19"/>
      <c r="FX74" s="19"/>
      <c r="FY74" s="19"/>
      <c r="FZ74" s="19"/>
      <c r="GA74" s="19"/>
      <c r="GB74" s="19"/>
      <c r="GC74" s="20"/>
      <c r="GD74" s="20"/>
      <c r="GE74" s="19"/>
      <c r="GF74" s="21"/>
      <c r="GG74" s="19"/>
      <c r="GH74" s="19"/>
      <c r="GI74" s="19"/>
      <c r="GJ74" s="21"/>
      <c r="GK74" s="19"/>
      <c r="GL74" s="19"/>
      <c r="GM74" s="19"/>
      <c r="GN74" s="19"/>
      <c r="GO74" s="22"/>
      <c r="GP74" s="22"/>
      <c r="GQ74" s="22"/>
      <c r="GR74" s="22"/>
      <c r="GS74" s="22"/>
      <c r="GT74" s="22"/>
      <c r="GU74" s="43"/>
      <c r="GV74" s="19"/>
      <c r="GW74" s="19"/>
      <c r="GX74" s="19"/>
      <c r="GY74" s="19"/>
      <c r="GZ74" s="23"/>
      <c r="HA74" s="22"/>
      <c r="HB74" s="22"/>
      <c r="HC74" s="22"/>
      <c r="HD74" s="52"/>
      <c r="HE74" s="22"/>
      <c r="HF74" s="22"/>
      <c r="HG74" s="233"/>
    </row>
    <row r="75" spans="2:215" ht="16.149999999999999" customHeight="1" thickBot="1">
      <c r="B75" s="15"/>
      <c r="C75" s="161" t="s">
        <v>638</v>
      </c>
      <c r="D75" s="82"/>
      <c r="E75" s="82"/>
      <c r="F75" s="74"/>
      <c r="G75" s="74"/>
      <c r="H75" s="74"/>
      <c r="I75" s="82"/>
      <c r="J75" s="82"/>
      <c r="K75" s="82"/>
      <c r="L75" s="82"/>
      <c r="M75" s="82"/>
      <c r="N75" s="82"/>
      <c r="O75" s="76"/>
      <c r="P75" s="76"/>
      <c r="Q75" s="76"/>
      <c r="R75" s="82"/>
      <c r="S75" s="82"/>
      <c r="T75" s="82"/>
      <c r="U75" s="82"/>
      <c r="V75" s="52"/>
      <c r="W75" s="52"/>
      <c r="X75" s="52"/>
      <c r="Y75" s="52"/>
      <c r="Z75" s="22"/>
      <c r="AA75" s="52"/>
      <c r="AB75" s="22"/>
      <c r="AC75" s="22"/>
      <c r="AD75" s="22"/>
      <c r="AE75" s="22"/>
      <c r="AF75" s="22"/>
      <c r="AG75" s="22"/>
      <c r="AH75" s="22"/>
      <c r="AI75" s="22"/>
      <c r="AJ75" s="5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77"/>
      <c r="AW75" s="77"/>
      <c r="AX75" s="78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40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19"/>
      <c r="CX75" s="19"/>
      <c r="CY75" s="19"/>
      <c r="CZ75" s="19"/>
      <c r="DA75" s="21"/>
      <c r="DB75" s="21"/>
      <c r="DC75" s="79"/>
      <c r="DD75" s="79"/>
      <c r="DE75" s="79"/>
      <c r="DF75" s="79"/>
      <c r="DG75" s="79"/>
      <c r="DH75" s="51"/>
      <c r="DI75" s="39"/>
      <c r="DJ75" s="80"/>
      <c r="DK75" s="39"/>
      <c r="DL75" s="39"/>
      <c r="DM75" s="48"/>
      <c r="DN75" s="39"/>
      <c r="DO75" s="39"/>
      <c r="DP75" s="39"/>
      <c r="DQ75" s="39"/>
      <c r="DR75" s="39"/>
      <c r="DS75" s="39"/>
      <c r="DT75" s="39"/>
      <c r="DU75" s="19"/>
      <c r="DV75" s="40"/>
      <c r="DW75" s="40"/>
      <c r="DX75" s="21"/>
      <c r="DY75" s="21"/>
      <c r="DZ75" s="19"/>
      <c r="EA75" s="19"/>
      <c r="EB75" s="19"/>
      <c r="EC75" s="48"/>
      <c r="ED75" s="48"/>
      <c r="EE75" s="22"/>
      <c r="EF75" s="22"/>
      <c r="EG75" s="22"/>
      <c r="EH75" s="22"/>
      <c r="EI75" s="22"/>
      <c r="EJ75" s="22"/>
      <c r="EK75" s="83"/>
      <c r="EL75" s="19"/>
      <c r="EM75" s="19"/>
      <c r="EN75" s="146"/>
      <c r="EO75" s="146"/>
      <c r="EP75" s="146"/>
      <c r="EQ75" s="21"/>
      <c r="ER75" s="21"/>
      <c r="ES75" s="19"/>
      <c r="ET75" s="19"/>
      <c r="EU75" s="19"/>
      <c r="EV75" s="21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19"/>
      <c r="FK75" s="19"/>
      <c r="FL75" s="19"/>
      <c r="FM75" s="19"/>
      <c r="FN75" s="19"/>
      <c r="FO75" s="22">
        <v>266.52999999999997</v>
      </c>
      <c r="FP75" s="22">
        <v>273.74</v>
      </c>
      <c r="FQ75" s="22"/>
      <c r="FR75" s="22">
        <v>266.52999999999997</v>
      </c>
      <c r="FS75" s="22">
        <v>273.74</v>
      </c>
      <c r="FT75" s="22"/>
      <c r="FU75" s="83" t="s">
        <v>627</v>
      </c>
      <c r="FV75" s="19"/>
      <c r="FW75" s="19"/>
      <c r="FX75" s="19"/>
      <c r="FY75" s="19"/>
      <c r="FZ75" s="19"/>
      <c r="GA75" s="19"/>
      <c r="GB75" s="19"/>
      <c r="GC75" s="20"/>
      <c r="GD75" s="20"/>
      <c r="GE75" s="19"/>
      <c r="GF75" s="21"/>
      <c r="GG75" s="19"/>
      <c r="GH75" s="19"/>
      <c r="GI75" s="19"/>
      <c r="GJ75" s="21"/>
      <c r="GK75" s="19"/>
      <c r="GL75" s="19"/>
      <c r="GM75" s="19"/>
      <c r="GN75" s="19"/>
      <c r="GO75" s="57">
        <v>273.74</v>
      </c>
      <c r="GP75" s="57">
        <v>539.78</v>
      </c>
      <c r="GQ75" s="57"/>
      <c r="GR75" s="57">
        <v>273.74</v>
      </c>
      <c r="GS75" s="57">
        <v>539.78</v>
      </c>
      <c r="GT75" s="57"/>
      <c r="GU75" s="83" t="s">
        <v>627</v>
      </c>
      <c r="GV75" s="19"/>
      <c r="GW75" s="19"/>
      <c r="GX75" s="19"/>
      <c r="GY75" s="19"/>
      <c r="GZ75" s="19"/>
      <c r="HA75" s="22">
        <v>539.78</v>
      </c>
      <c r="HB75" s="22">
        <v>539.12</v>
      </c>
      <c r="HC75" s="22"/>
      <c r="HD75" s="22">
        <v>539.78</v>
      </c>
      <c r="HE75" s="22">
        <v>539.12</v>
      </c>
      <c r="HF75" s="22"/>
      <c r="HG75" s="235" t="s">
        <v>627</v>
      </c>
    </row>
    <row r="76" spans="2:215" ht="16.5" thickBot="1">
      <c r="B76" s="7" t="s">
        <v>223</v>
      </c>
      <c r="C76" s="80" t="s">
        <v>224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>
        <f t="shared" ref="X76" si="489">+IF(V76=0,,W76/V76*100)</f>
        <v>0</v>
      </c>
      <c r="Y76" s="80"/>
      <c r="Z76" s="80">
        <f t="shared" ref="Z76" si="490">+IF(W76=0,,Y76/W76*100)</f>
        <v>0</v>
      </c>
      <c r="AA76" s="80"/>
      <c r="AB76" s="80">
        <f t="shared" ref="AB76" si="491">+IF(Y76=0,,AA76/Y76*100)</f>
        <v>0</v>
      </c>
      <c r="AC76" s="80"/>
      <c r="AD76" s="80"/>
      <c r="AE76" s="80">
        <f t="shared" ref="AE76" si="492">+IF(AC76=0,,AF76/AC76*100)</f>
        <v>0</v>
      </c>
      <c r="AF76" s="80"/>
      <c r="AG76" s="80">
        <f>+IF(AC76=0,,AF76/AC76*100)</f>
        <v>0</v>
      </c>
      <c r="AH76" s="80"/>
      <c r="AI76" s="80"/>
      <c r="AJ76" s="80">
        <f t="shared" ref="AJ76" si="493">+IF(AH76=0,,AI76/AH76*100)</f>
        <v>0</v>
      </c>
      <c r="AK76" s="80"/>
      <c r="AL76" s="80">
        <f t="shared" ref="AL76" si="494">+IF(AI76=0,,AK76/AI76*100)</f>
        <v>0</v>
      </c>
      <c r="AM76" s="80"/>
      <c r="AN76" s="80">
        <f t="shared" ref="AN76" si="495">+IF(AK76=0,,AM76/AK76*100)</f>
        <v>0</v>
      </c>
      <c r="AO76" s="80">
        <f t="shared" ref="AO76" si="496">+IF(V76=0,,AA76/V76*100)</f>
        <v>0</v>
      </c>
      <c r="AP76" s="80">
        <f t="shared" ref="AP76" si="497">+IF(AH76=0,,AM76/AH76*100)</f>
        <v>0</v>
      </c>
      <c r="AQ76" s="80"/>
      <c r="AR76" s="80"/>
      <c r="AS76" s="80">
        <f t="shared" ref="AS76" si="498">+IF(AQ76=0,,AT76/AQ76*100)</f>
        <v>0</v>
      </c>
      <c r="AT76" s="80"/>
      <c r="AU76" s="80">
        <f>+IF(AQ76=0,,AT76/AQ76*100)</f>
        <v>0</v>
      </c>
      <c r="AV76" s="77"/>
      <c r="AW76" s="77" t="e">
        <f>+CY76/$CY$76*100</f>
        <v>#DIV/0!</v>
      </c>
      <c r="AX76" s="78"/>
      <c r="AY76" s="80">
        <f t="shared" si="415"/>
        <v>0</v>
      </c>
      <c r="AZ76" s="80"/>
      <c r="BA76" s="80"/>
      <c r="BB76" s="80"/>
      <c r="BC76" s="80"/>
      <c r="BD76" s="80"/>
      <c r="BE76" s="22">
        <f t="shared" si="416"/>
        <v>0</v>
      </c>
      <c r="BF76" s="80"/>
      <c r="BG76" s="80"/>
      <c r="BH76" s="22">
        <f t="shared" si="417"/>
        <v>0</v>
      </c>
      <c r="BI76" s="22"/>
      <c r="BJ76" s="40"/>
      <c r="BK76" s="80">
        <f t="shared" si="353"/>
        <v>0</v>
      </c>
      <c r="BL76" s="80">
        <f t="shared" si="447"/>
        <v>0</v>
      </c>
      <c r="BM76" s="80">
        <f t="shared" si="448"/>
        <v>0</v>
      </c>
      <c r="BN76" s="80">
        <f t="shared" si="449"/>
        <v>0</v>
      </c>
      <c r="BO76" s="80">
        <f t="shared" si="354"/>
        <v>0</v>
      </c>
      <c r="BP76" s="80">
        <f t="shared" si="450"/>
        <v>0</v>
      </c>
      <c r="BQ76" s="80">
        <f t="shared" si="451"/>
        <v>0</v>
      </c>
      <c r="BR76" s="80">
        <f t="shared" si="452"/>
        <v>0</v>
      </c>
      <c r="BS76" s="80">
        <f t="shared" si="355"/>
        <v>0</v>
      </c>
      <c r="BT76" s="80">
        <f t="shared" si="453"/>
        <v>0</v>
      </c>
      <c r="BU76" s="80">
        <f t="shared" si="454"/>
        <v>0</v>
      </c>
      <c r="BV76" s="80">
        <f t="shared" si="455"/>
        <v>0</v>
      </c>
      <c r="BW76" s="80"/>
      <c r="BX76" s="48">
        <f>+SUM(BX77:BX83)</f>
        <v>0</v>
      </c>
      <c r="BY76" s="48">
        <f>+SUM(BY77:BY83)</f>
        <v>0</v>
      </c>
      <c r="BZ76" s="80">
        <f>+AC76*R76/1000</f>
        <v>0</v>
      </c>
      <c r="CA76" s="80"/>
      <c r="CB76" s="48">
        <f>+SUM(CB77:CB83)</f>
        <v>0</v>
      </c>
      <c r="CC76" s="48">
        <f>+SUM(CC77:CC83)</f>
        <v>0</v>
      </c>
      <c r="CD76" s="80">
        <f t="shared" si="463"/>
        <v>0</v>
      </c>
      <c r="CE76" s="80">
        <f t="shared" si="464"/>
        <v>0</v>
      </c>
      <c r="CF76" s="80">
        <f t="shared" si="465"/>
        <v>0</v>
      </c>
      <c r="CG76" s="80">
        <f t="shared" si="466"/>
        <v>0</v>
      </c>
      <c r="CH76" s="80">
        <f t="shared" si="467"/>
        <v>0</v>
      </c>
      <c r="CI76" s="80">
        <f t="shared" si="468"/>
        <v>0</v>
      </c>
      <c r="CJ76" s="80">
        <f t="shared" si="469"/>
        <v>0</v>
      </c>
      <c r="CK76" s="80">
        <f t="shared" si="470"/>
        <v>0</v>
      </c>
      <c r="CL76" s="80">
        <f t="shared" si="471"/>
        <v>0</v>
      </c>
      <c r="CM76" s="80">
        <f t="shared" si="472"/>
        <v>0</v>
      </c>
      <c r="CN76" s="80">
        <f t="shared" ref="CN76" si="499">+IF((D76+D76+D76)=0,,(BK76+BO76+BS76)/(D76+D76+D76))*1000</f>
        <v>0</v>
      </c>
      <c r="CO76" s="80">
        <f t="shared" si="473"/>
        <v>0</v>
      </c>
      <c r="CP76" s="80">
        <f t="shared" si="474"/>
        <v>0</v>
      </c>
      <c r="CQ76" s="80">
        <f t="shared" si="475"/>
        <v>0</v>
      </c>
      <c r="CR76" s="80">
        <f t="shared" si="476"/>
        <v>0</v>
      </c>
      <c r="CS76" s="80">
        <f t="shared" si="477"/>
        <v>0</v>
      </c>
      <c r="CT76" s="80">
        <f t="shared" si="478"/>
        <v>0</v>
      </c>
      <c r="CU76" s="80">
        <f t="shared" si="479"/>
        <v>0</v>
      </c>
      <c r="CV76" s="80">
        <f t="shared" si="329"/>
        <v>0</v>
      </c>
      <c r="CW76" s="48">
        <f>+SUM(CW77:CW83)</f>
        <v>0</v>
      </c>
      <c r="CX76" s="48">
        <f>+SUM(CX77:CX83)</f>
        <v>0</v>
      </c>
      <c r="CY76" s="48">
        <f>+SUM(CY77:CY83)</f>
        <v>0</v>
      </c>
      <c r="CZ76" s="48">
        <f>+SUM(CZ77:CZ83)</f>
        <v>0</v>
      </c>
      <c r="DA76" s="20">
        <f t="shared" si="334"/>
        <v>0</v>
      </c>
      <c r="DB76" s="20">
        <f t="shared" si="335"/>
        <v>0</v>
      </c>
      <c r="DC76" s="20">
        <f t="shared" si="336"/>
        <v>0</v>
      </c>
      <c r="DD76" s="20">
        <f t="shared" si="336"/>
        <v>0</v>
      </c>
      <c r="DE76" s="79">
        <f t="shared" si="484"/>
        <v>0</v>
      </c>
      <c r="DF76" s="79">
        <f t="shared" si="484"/>
        <v>0</v>
      </c>
      <c r="DG76" s="48">
        <f>+SUM(DG77:DG83)</f>
        <v>0</v>
      </c>
      <c r="DH76" s="51">
        <f t="shared" si="339"/>
        <v>0</v>
      </c>
      <c r="DI76" s="39"/>
      <c r="DJ76" s="80">
        <f t="shared" si="486"/>
        <v>0</v>
      </c>
      <c r="DK76" s="39">
        <f t="shared" si="487"/>
        <v>0</v>
      </c>
      <c r="DL76" s="39">
        <f t="shared" si="488"/>
        <v>0</v>
      </c>
      <c r="DM76" s="48">
        <f>+AT76-'[2]тарифы (12-13) население 15%'!AP118</f>
        <v>0</v>
      </c>
      <c r="DN76" s="39"/>
      <c r="DO76" s="39"/>
      <c r="DP76" s="39"/>
      <c r="DQ76" s="39"/>
      <c r="DR76" s="39"/>
      <c r="DS76" s="39"/>
      <c r="DT76" s="39"/>
      <c r="DU76" s="19">
        <f t="shared" si="444"/>
        <v>0</v>
      </c>
      <c r="DV76" s="42">
        <f>+SUM(DV77:DV83)</f>
        <v>26401.086310762712</v>
      </c>
      <c r="DW76" s="42">
        <f>+SUM(DW77:DW83)</f>
        <v>40497.806510199996</v>
      </c>
      <c r="DX76" s="42">
        <f>+'[1]тарифы (НВВ) население на 4,2%'!CO122</f>
        <v>57.162251421577182</v>
      </c>
      <c r="DY76" s="42">
        <f>+IF(DW76=0,,DV76/DW76*100)</f>
        <v>65.191398215884092</v>
      </c>
      <c r="DZ76" s="19">
        <f t="shared" si="420"/>
        <v>0</v>
      </c>
      <c r="EA76" s="19">
        <f t="shared" si="421"/>
        <v>0</v>
      </c>
      <c r="EB76" s="19"/>
      <c r="EC76" s="22">
        <f>+SUM(EC77:EC83)</f>
        <v>14183.98009252542</v>
      </c>
      <c r="ED76" s="22">
        <f>+SUM(ED77:ED83)</f>
        <v>14096.720199437284</v>
      </c>
      <c r="EE76" s="80"/>
      <c r="EF76" s="80"/>
      <c r="EG76" s="22">
        <f t="shared" si="404"/>
        <v>0</v>
      </c>
      <c r="EH76" s="80"/>
      <c r="EI76" s="80"/>
      <c r="EJ76" s="22">
        <f t="shared" si="405"/>
        <v>0</v>
      </c>
      <c r="EK76" s="40"/>
      <c r="EL76" s="40"/>
      <c r="EM76" s="40"/>
      <c r="EN76" s="146">
        <f>+SUM(EN77:EN83)</f>
        <v>28781.844445593215</v>
      </c>
      <c r="EO76" s="146">
        <f>+SUM(EO77:EO83)</f>
        <v>42550.363460899986</v>
      </c>
      <c r="EP76" s="146" t="e">
        <f>+$EN$442/$EN$445*EN76</f>
        <v>#REF!</v>
      </c>
      <c r="EQ76" s="42">
        <f t="shared" si="426"/>
        <v>67.641829833113363</v>
      </c>
      <c r="ER76" s="42" t="e">
        <f>+IF((EN76+EP76)=0,,(EN76+EP76)/(EO76+EP76))*100</f>
        <v>#REF!</v>
      </c>
      <c r="ES76" s="42"/>
      <c r="ET76" s="42"/>
      <c r="EU76" s="19">
        <f t="shared" si="406"/>
        <v>0</v>
      </c>
      <c r="EV76" s="42"/>
      <c r="EW76" s="39"/>
      <c r="EX76" s="39">
        <f t="shared" si="407"/>
        <v>0</v>
      </c>
      <c r="EY76" s="39">
        <f t="shared" si="408"/>
        <v>0</v>
      </c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41">
        <f>+SUM(FJ77:FJ83)</f>
        <v>14145.973722874573</v>
      </c>
      <c r="FK76" s="41">
        <f>+SUM(FK77:FK83)</f>
        <v>13768.519015306776</v>
      </c>
      <c r="FL76" s="41">
        <f>+SUM(FL77:FL83)</f>
        <v>27914.49273818135</v>
      </c>
      <c r="FM76" s="40"/>
      <c r="FN76" s="40"/>
      <c r="FO76" s="80">
        <f t="shared" si="409"/>
        <v>0</v>
      </c>
      <c r="FP76" s="80"/>
      <c r="FQ76" s="22"/>
      <c r="FR76" s="80">
        <f t="shared" si="431"/>
        <v>0</v>
      </c>
      <c r="FS76" s="80"/>
      <c r="FT76" s="22"/>
      <c r="FU76" s="40"/>
      <c r="FV76" s="41">
        <f t="shared" ref="FV76:GB76" si="500">+SUM(FV77:FV83)</f>
        <v>0</v>
      </c>
      <c r="FW76" s="41">
        <f t="shared" si="500"/>
        <v>0</v>
      </c>
      <c r="FX76" s="41">
        <f t="shared" si="500"/>
        <v>0</v>
      </c>
      <c r="FY76" s="41">
        <f t="shared" si="500"/>
        <v>0</v>
      </c>
      <c r="FZ76" s="41">
        <f t="shared" si="500"/>
        <v>0</v>
      </c>
      <c r="GA76" s="41">
        <f t="shared" si="500"/>
        <v>0</v>
      </c>
      <c r="GB76" s="41">
        <f t="shared" si="500"/>
        <v>0</v>
      </c>
      <c r="GC76" s="20">
        <f t="shared" si="411"/>
        <v>0</v>
      </c>
      <c r="GD76" s="20">
        <f t="shared" si="412"/>
        <v>0</v>
      </c>
      <c r="GE76" s="42"/>
      <c r="GF76" s="42"/>
      <c r="GG76" s="42"/>
      <c r="GH76" s="42"/>
      <c r="GI76" s="42"/>
      <c r="GJ76" s="42"/>
      <c r="GK76" s="42"/>
      <c r="GL76" s="42"/>
      <c r="GM76" s="40"/>
      <c r="GN76" s="40"/>
      <c r="GO76" s="80"/>
      <c r="GP76" s="80"/>
      <c r="GQ76" s="22"/>
      <c r="GR76" s="80"/>
      <c r="GS76" s="80"/>
      <c r="GT76" s="22"/>
      <c r="GU76" s="43"/>
      <c r="GV76" s="41"/>
      <c r="GW76" s="41"/>
      <c r="GX76" s="41">
        <f>+SUM(GX77:GX83)</f>
        <v>0</v>
      </c>
      <c r="GY76" s="41">
        <f>+SUM(GY77:GY83)</f>
        <v>0</v>
      </c>
      <c r="GZ76" s="44">
        <f t="shared" ref="GZ76" si="501">+IF(GY76=0,,GX76/GY76*100)</f>
        <v>0</v>
      </c>
      <c r="HA76" s="80"/>
      <c r="HB76" s="80"/>
      <c r="HC76" s="22"/>
      <c r="HD76" s="80"/>
      <c r="HE76" s="80"/>
      <c r="HF76" s="22"/>
      <c r="HG76" s="233"/>
    </row>
    <row r="77" spans="2:215" ht="15.75">
      <c r="B77" s="10" t="s">
        <v>225</v>
      </c>
      <c r="C77" s="81" t="s">
        <v>152</v>
      </c>
      <c r="D77" s="73"/>
      <c r="E77" s="73"/>
      <c r="F77" s="74"/>
      <c r="G77" s="74"/>
      <c r="H77" s="74"/>
      <c r="I77" s="73"/>
      <c r="J77" s="75"/>
      <c r="K77" s="75"/>
      <c r="L77" s="75"/>
      <c r="M77" s="73"/>
      <c r="N77" s="75"/>
      <c r="O77" s="74"/>
      <c r="P77" s="74"/>
      <c r="Q77" s="74"/>
      <c r="R77" s="75"/>
      <c r="S77" s="74"/>
      <c r="T77" s="74"/>
      <c r="U77" s="74"/>
      <c r="V77" s="52"/>
      <c r="W77" s="52"/>
      <c r="X77" s="52"/>
      <c r="Y77" s="52"/>
      <c r="Z77" s="22"/>
      <c r="AA77" s="52"/>
      <c r="AB77" s="22"/>
      <c r="AC77" s="52"/>
      <c r="AD77" s="22"/>
      <c r="AE77" s="22"/>
      <c r="AF77" s="22"/>
      <c r="AG77" s="22">
        <f t="shared" ref="AG77:AG81" si="502">+IF(AD77=0,,AF77/AD77*100)</f>
        <v>0</v>
      </c>
      <c r="AH77" s="52"/>
      <c r="AI77" s="52"/>
      <c r="AJ77" s="52"/>
      <c r="AK77" s="52"/>
      <c r="AL77" s="22"/>
      <c r="AM77" s="52"/>
      <c r="AN77" s="22"/>
      <c r="AO77" s="22"/>
      <c r="AP77" s="22"/>
      <c r="AQ77" s="22"/>
      <c r="AR77" s="22"/>
      <c r="AS77" s="22"/>
      <c r="AT77" s="22"/>
      <c r="AU77" s="22">
        <f t="shared" ref="AU77:AU81" si="503">+IF(AR77=0,,AT77/AR77*100)</f>
        <v>0</v>
      </c>
      <c r="AV77" s="77"/>
      <c r="AW77" s="77"/>
      <c r="AX77" s="78"/>
      <c r="AY77" s="22">
        <f t="shared" si="415"/>
        <v>0</v>
      </c>
      <c r="AZ77" s="22"/>
      <c r="BA77" s="22"/>
      <c r="BB77" s="22"/>
      <c r="BC77" s="22"/>
      <c r="BD77" s="22"/>
      <c r="BE77" s="22">
        <f t="shared" si="416"/>
        <v>0</v>
      </c>
      <c r="BF77" s="22"/>
      <c r="BG77" s="22"/>
      <c r="BH77" s="22">
        <f t="shared" si="417"/>
        <v>0</v>
      </c>
      <c r="BI77" s="22"/>
      <c r="BJ77" s="40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19"/>
      <c r="CX77" s="19"/>
      <c r="CY77" s="19"/>
      <c r="CZ77" s="19"/>
      <c r="DA77" s="21"/>
      <c r="DB77" s="21"/>
      <c r="DC77" s="79"/>
      <c r="DD77" s="79"/>
      <c r="DE77" s="79"/>
      <c r="DF77" s="79"/>
      <c r="DG77" s="79"/>
      <c r="DH77" s="51"/>
      <c r="DI77" s="39"/>
      <c r="DJ77" s="80"/>
      <c r="DK77" s="39"/>
      <c r="DL77" s="39"/>
      <c r="DM77" s="48"/>
      <c r="DN77" s="39"/>
      <c r="DO77" s="39"/>
      <c r="DP77" s="39"/>
      <c r="DQ77" s="39"/>
      <c r="DR77" s="39"/>
      <c r="DS77" s="39"/>
      <c r="DT77" s="39"/>
      <c r="DU77" s="19">
        <f t="shared" si="444"/>
        <v>0</v>
      </c>
      <c r="DV77" s="40">
        <f t="shared" si="418"/>
        <v>0</v>
      </c>
      <c r="DW77" s="40">
        <f t="shared" si="419"/>
        <v>0</v>
      </c>
      <c r="DX77" s="46"/>
      <c r="DY77" s="21">
        <f t="shared" si="403"/>
        <v>0</v>
      </c>
      <c r="DZ77" s="19">
        <f t="shared" si="420"/>
        <v>0</v>
      </c>
      <c r="EA77" s="19">
        <f t="shared" si="421"/>
        <v>0</v>
      </c>
      <c r="EB77" s="19"/>
      <c r="EC77" s="48">
        <f t="shared" ref="EC77:EC79" si="504">+(BC77-BF77/1.18)*AZ77/2</f>
        <v>0</v>
      </c>
      <c r="ED77" s="48">
        <f t="shared" ref="ED77:ED79" si="505">+(BD77-BG77/1.18)*AZ77/2</f>
        <v>0</v>
      </c>
      <c r="EE77" s="22"/>
      <c r="EF77" s="22"/>
      <c r="EG77" s="22">
        <f t="shared" si="404"/>
        <v>0</v>
      </c>
      <c r="EH77" s="22"/>
      <c r="EI77" s="22"/>
      <c r="EJ77" s="22">
        <f t="shared" si="405"/>
        <v>0</v>
      </c>
      <c r="EK77" s="40"/>
      <c r="EL77" s="19"/>
      <c r="EM77" s="19"/>
      <c r="EN77" s="40">
        <f t="shared" si="424"/>
        <v>0</v>
      </c>
      <c r="EO77" s="40">
        <f t="shared" si="425"/>
        <v>0</v>
      </c>
      <c r="EP77" s="40"/>
      <c r="EQ77" s="21">
        <f t="shared" si="426"/>
        <v>0</v>
      </c>
      <c r="ER77" s="21"/>
      <c r="ES77" s="21"/>
      <c r="ET77" s="21"/>
      <c r="EU77" s="19">
        <f t="shared" si="406"/>
        <v>0</v>
      </c>
      <c r="EV77" s="21"/>
      <c r="EW77" s="39"/>
      <c r="EX77" s="39">
        <f t="shared" si="407"/>
        <v>0</v>
      </c>
      <c r="EY77" s="39">
        <f t="shared" si="408"/>
        <v>0</v>
      </c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19">
        <f t="shared" si="427"/>
        <v>0</v>
      </c>
      <c r="FK77" s="19">
        <f t="shared" si="428"/>
        <v>0</v>
      </c>
      <c r="FL77" s="19">
        <f t="shared" si="429"/>
        <v>0</v>
      </c>
      <c r="FM77" s="19"/>
      <c r="FN77" s="19"/>
      <c r="FO77" s="22">
        <f t="shared" si="409"/>
        <v>0</v>
      </c>
      <c r="FP77" s="22"/>
      <c r="FQ77" s="22"/>
      <c r="FR77" s="22">
        <f t="shared" si="431"/>
        <v>0</v>
      </c>
      <c r="FS77" s="22"/>
      <c r="FT77" s="22"/>
      <c r="FU77" s="40"/>
      <c r="FV77" s="19">
        <f t="shared" ref="FV77" si="506">+(FO77-FR77/1.18)*FN77</f>
        <v>0</v>
      </c>
      <c r="FW77" s="19">
        <f t="shared" ref="FW77" si="507">+(FP77-FS77/1.18)*FN77</f>
        <v>0</v>
      </c>
      <c r="FX77" s="19">
        <f t="shared" si="432"/>
        <v>0</v>
      </c>
      <c r="FY77" s="19">
        <f t="shared" si="433"/>
        <v>0</v>
      </c>
      <c r="FZ77" s="19">
        <f t="shared" si="434"/>
        <v>0</v>
      </c>
      <c r="GA77" s="19">
        <f t="shared" si="435"/>
        <v>0</v>
      </c>
      <c r="GB77" s="19">
        <f t="shared" si="436"/>
        <v>0</v>
      </c>
      <c r="GC77" s="20">
        <f t="shared" si="411"/>
        <v>0</v>
      </c>
      <c r="GD77" s="20">
        <f t="shared" si="412"/>
        <v>0</v>
      </c>
      <c r="GE77" s="21"/>
      <c r="GF77" s="21">
        <f t="shared" ref="GF77" si="508">+FR77*FN77</f>
        <v>0</v>
      </c>
      <c r="GG77" s="21"/>
      <c r="GH77" s="21"/>
      <c r="GI77" s="21">
        <f t="shared" ref="GI77" si="509">+FP77*FM77</f>
        <v>0</v>
      </c>
      <c r="GJ77" s="21">
        <f t="shared" ref="GJ77" si="510">+FS77*FN77</f>
        <v>0</v>
      </c>
      <c r="GK77" s="21"/>
      <c r="GL77" s="21"/>
      <c r="GM77" s="19"/>
      <c r="GN77" s="19"/>
      <c r="GO77" s="22"/>
      <c r="GP77" s="22"/>
      <c r="GQ77" s="22"/>
      <c r="GR77" s="22"/>
      <c r="GS77" s="22"/>
      <c r="GT77" s="22"/>
      <c r="GU77" s="43"/>
      <c r="GV77" s="19"/>
      <c r="GW77" s="19"/>
      <c r="GX77" s="19"/>
      <c r="GY77" s="19"/>
      <c r="GZ77" s="19"/>
      <c r="HA77" s="22"/>
      <c r="HB77" s="22"/>
      <c r="HC77" s="22"/>
      <c r="HD77" s="22"/>
      <c r="HE77" s="22"/>
      <c r="HF77" s="22"/>
      <c r="HG77" s="233"/>
    </row>
    <row r="78" spans="2:215" ht="15.75">
      <c r="B78" s="10"/>
      <c r="C78" s="161" t="s">
        <v>153</v>
      </c>
      <c r="D78" s="73"/>
      <c r="E78" s="73"/>
      <c r="F78" s="74"/>
      <c r="G78" s="74"/>
      <c r="H78" s="74"/>
      <c r="I78" s="73"/>
      <c r="J78" s="75"/>
      <c r="K78" s="75"/>
      <c r="L78" s="75"/>
      <c r="M78" s="73"/>
      <c r="N78" s="75"/>
      <c r="O78" s="74"/>
      <c r="P78" s="74"/>
      <c r="Q78" s="74"/>
      <c r="R78" s="75"/>
      <c r="S78" s="74"/>
      <c r="T78" s="74"/>
      <c r="U78" s="74"/>
      <c r="V78" s="52"/>
      <c r="W78" s="52"/>
      <c r="X78" s="52"/>
      <c r="Y78" s="52"/>
      <c r="Z78" s="22"/>
      <c r="AA78" s="52"/>
      <c r="AB78" s="22"/>
      <c r="AC78" s="52"/>
      <c r="AD78" s="52">
        <v>2523.4</v>
      </c>
      <c r="AE78" s="22">
        <f>+IF(AC78=0,,AF78/AC78*100)</f>
        <v>0</v>
      </c>
      <c r="AF78" s="22">
        <v>2523.4</v>
      </c>
      <c r="AG78" s="22">
        <f t="shared" si="502"/>
        <v>100</v>
      </c>
      <c r="AH78" s="52"/>
      <c r="AI78" s="52"/>
      <c r="AJ78" s="52"/>
      <c r="AK78" s="52"/>
      <c r="AL78" s="22"/>
      <c r="AM78" s="52"/>
      <c r="AN78" s="22"/>
      <c r="AO78" s="22"/>
      <c r="AP78" s="22"/>
      <c r="AQ78" s="22"/>
      <c r="AR78" s="22">
        <v>1968.43</v>
      </c>
      <c r="AS78" s="22">
        <f>+IF(AQ78=0,,AT78/AQ78*100)</f>
        <v>0</v>
      </c>
      <c r="AT78" s="22">
        <v>2198.73</v>
      </c>
      <c r="AU78" s="22">
        <f t="shared" si="503"/>
        <v>111.69967943995975</v>
      </c>
      <c r="AV78" s="77"/>
      <c r="AW78" s="77"/>
      <c r="AX78" s="78" t="s">
        <v>139</v>
      </c>
      <c r="AY78" s="22">
        <f t="shared" si="415"/>
        <v>17.647459999999999</v>
      </c>
      <c r="AZ78" s="22">
        <f>+[7]БПр!$BX$1708/1000</f>
        <v>9.2192899999999991</v>
      </c>
      <c r="BA78" s="22">
        <f>+[7]БПр!$BW$1708/1000</f>
        <v>7.77623</v>
      </c>
      <c r="BB78" s="22">
        <f>+([7]БПр!$BY$1708+[7]БПр!$BP$1708)/1000</f>
        <v>0.65194000000000007</v>
      </c>
      <c r="BC78" s="22">
        <v>2523.4</v>
      </c>
      <c r="BD78" s="22">
        <v>2629.38</v>
      </c>
      <c r="BE78" s="22">
        <f t="shared" si="416"/>
        <v>104.19988903859871</v>
      </c>
      <c r="BF78" s="22">
        <v>2198.73</v>
      </c>
      <c r="BG78" s="22">
        <v>2291.0700000000002</v>
      </c>
      <c r="BH78" s="22">
        <f t="shared" si="417"/>
        <v>104.19969709787014</v>
      </c>
      <c r="BI78" s="22">
        <f>+BD78-BG78/1.18</f>
        <v>687.79525423728796</v>
      </c>
      <c r="BJ78" s="40" t="s">
        <v>140</v>
      </c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19"/>
      <c r="CX78" s="19"/>
      <c r="CY78" s="19"/>
      <c r="CZ78" s="19"/>
      <c r="DA78" s="21"/>
      <c r="DB78" s="21"/>
      <c r="DC78" s="79"/>
      <c r="DD78" s="79"/>
      <c r="DE78" s="79"/>
      <c r="DF78" s="79"/>
      <c r="DG78" s="79"/>
      <c r="DH78" s="51"/>
      <c r="DI78" s="39"/>
      <c r="DJ78" s="80"/>
      <c r="DK78" s="39"/>
      <c r="DL78" s="39"/>
      <c r="DM78" s="48"/>
      <c r="DN78" s="39"/>
      <c r="DO78" s="39"/>
      <c r="DP78" s="39"/>
      <c r="DQ78" s="39"/>
      <c r="DR78" s="39"/>
      <c r="DS78" s="39"/>
      <c r="DT78" s="39"/>
      <c r="DU78" s="19">
        <f t="shared" si="444"/>
        <v>17178.584323474577</v>
      </c>
      <c r="DV78" s="40">
        <f t="shared" si="418"/>
        <v>17900.032830762713</v>
      </c>
      <c r="DW78" s="40">
        <f t="shared" si="419"/>
        <v>24241.016740199997</v>
      </c>
      <c r="DX78" s="21">
        <f>+'[1]тарифы (НВВ) население на 4,2%'!CO124</f>
        <v>50.998261867274699</v>
      </c>
      <c r="DY78" s="21">
        <f t="shared" si="403"/>
        <v>73.841922649549034</v>
      </c>
      <c r="DZ78" s="19">
        <f t="shared" si="420"/>
        <v>44.531600564000001</v>
      </c>
      <c r="EA78" s="19">
        <f t="shared" si="421"/>
        <v>46.401878374799999</v>
      </c>
      <c r="EB78" s="48">
        <v>1859.47</v>
      </c>
      <c r="EC78" s="48">
        <f>+(BC78-BF78/1.18)*AZ78</f>
        <v>6085.3720625254227</v>
      </c>
      <c r="ED78" s="48">
        <f>+(BD78-BG78/1.18)*AZ78</f>
        <v>6340.9839094372855</v>
      </c>
      <c r="EE78" s="22">
        <v>2629.38</v>
      </c>
      <c r="EF78" s="22">
        <v>2813.43</v>
      </c>
      <c r="EG78" s="22">
        <f t="shared" si="404"/>
        <v>106.99974899025624</v>
      </c>
      <c r="EH78" s="22">
        <v>2291.0700000000002</v>
      </c>
      <c r="EI78" s="22">
        <v>2484.66</v>
      </c>
      <c r="EJ78" s="22">
        <f t="shared" si="405"/>
        <v>108.44976364755333</v>
      </c>
      <c r="EK78" s="40" t="s">
        <v>141</v>
      </c>
      <c r="EL78" s="19">
        <v>17.857099999999999</v>
      </c>
      <c r="EM78" s="19">
        <v>9.2906299999999984</v>
      </c>
      <c r="EN78" s="40">
        <f t="shared" si="424"/>
        <v>19562.759945593214</v>
      </c>
      <c r="EO78" s="40">
        <f t="shared" si="425"/>
        <v>26138.537160899992</v>
      </c>
      <c r="EP78" s="40"/>
      <c r="EQ78" s="21">
        <f t="shared" si="426"/>
        <v>74.842596680799247</v>
      </c>
      <c r="ER78" s="21"/>
      <c r="ES78" s="21">
        <f t="shared" ref="ES78:ES81" si="511">+EL78*EE78</f>
        <v>46953.101598000001</v>
      </c>
      <c r="ET78" s="21"/>
      <c r="EU78" s="19">
        <f t="shared" si="406"/>
        <v>50239.700852999995</v>
      </c>
      <c r="EV78" s="21"/>
      <c r="EW78" s="39"/>
      <c r="EX78" s="39">
        <f t="shared" si="407"/>
        <v>46401.878374799999</v>
      </c>
      <c r="EY78" s="39">
        <f t="shared" si="408"/>
        <v>49649.893387799995</v>
      </c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19">
        <f t="shared" si="427"/>
        <v>6390.0512228745738</v>
      </c>
      <c r="FK78" s="19">
        <f t="shared" si="428"/>
        <v>6575.7772153067763</v>
      </c>
      <c r="FL78" s="19">
        <f t="shared" si="429"/>
        <v>12965.82843818135</v>
      </c>
      <c r="FM78" s="19">
        <v>18.049579999999999</v>
      </c>
      <c r="FN78" s="19">
        <v>9.44</v>
      </c>
      <c r="FO78" s="22">
        <v>3013.12</v>
      </c>
      <c r="FP78" s="22">
        <v>3083.47</v>
      </c>
      <c r="FQ78" s="22"/>
      <c r="FR78" s="22">
        <v>2797.18</v>
      </c>
      <c r="FS78" s="22">
        <v>2797.18</v>
      </c>
      <c r="FT78" s="22"/>
      <c r="FU78" s="129" t="s">
        <v>624</v>
      </c>
      <c r="FV78" s="19"/>
      <c r="FW78" s="19"/>
      <c r="FX78" s="19"/>
      <c r="FY78" s="19"/>
      <c r="FZ78" s="19"/>
      <c r="GA78" s="19"/>
      <c r="GB78" s="19"/>
      <c r="GC78" s="20"/>
      <c r="GD78" s="20"/>
      <c r="GE78" s="21"/>
      <c r="GF78" s="21"/>
      <c r="GG78" s="21"/>
      <c r="GH78" s="21"/>
      <c r="GI78" s="21"/>
      <c r="GJ78" s="21"/>
      <c r="GK78" s="21"/>
      <c r="GL78" s="21"/>
      <c r="GM78" s="19"/>
      <c r="GN78" s="19"/>
      <c r="GO78" s="22">
        <v>3083.47</v>
      </c>
      <c r="GP78" s="22">
        <v>3217.34</v>
      </c>
      <c r="GQ78" s="22"/>
      <c r="GR78" s="22">
        <v>2797.18</v>
      </c>
      <c r="GS78" s="22">
        <v>2903.47</v>
      </c>
      <c r="GT78" s="22"/>
      <c r="GU78" s="129" t="s">
        <v>624</v>
      </c>
      <c r="GV78" s="19"/>
      <c r="GW78" s="19"/>
      <c r="GX78" s="19"/>
      <c r="GY78" s="19"/>
      <c r="GZ78" s="23"/>
      <c r="HA78" s="22">
        <v>3217.34</v>
      </c>
      <c r="HB78" s="22">
        <v>3305.42</v>
      </c>
      <c r="HC78" s="22"/>
      <c r="HD78" s="22">
        <v>2903.47</v>
      </c>
      <c r="HE78" s="22">
        <v>3019.61</v>
      </c>
      <c r="HF78" s="22"/>
      <c r="HG78" s="236" t="s">
        <v>624</v>
      </c>
    </row>
    <row r="79" spans="2:215" ht="15.75">
      <c r="B79" s="10" t="s">
        <v>226</v>
      </c>
      <c r="C79" s="81" t="s">
        <v>227</v>
      </c>
      <c r="D79" s="73"/>
      <c r="E79" s="73"/>
      <c r="F79" s="74"/>
      <c r="G79" s="74"/>
      <c r="H79" s="74"/>
      <c r="I79" s="73"/>
      <c r="J79" s="75"/>
      <c r="K79" s="75"/>
      <c r="L79" s="75"/>
      <c r="M79" s="73"/>
      <c r="N79" s="75"/>
      <c r="O79" s="74"/>
      <c r="P79" s="74"/>
      <c r="Q79" s="74"/>
      <c r="R79" s="75"/>
      <c r="S79" s="74"/>
      <c r="T79" s="74"/>
      <c r="U79" s="74"/>
      <c r="V79" s="52"/>
      <c r="W79" s="52"/>
      <c r="X79" s="52"/>
      <c r="Y79" s="52"/>
      <c r="Z79" s="22"/>
      <c r="AA79" s="52"/>
      <c r="AB79" s="22"/>
      <c r="AC79" s="52"/>
      <c r="AD79" s="22"/>
      <c r="AE79" s="22"/>
      <c r="AF79" s="22"/>
      <c r="AG79" s="22">
        <f t="shared" si="502"/>
        <v>0</v>
      </c>
      <c r="AH79" s="52"/>
      <c r="AI79" s="52"/>
      <c r="AJ79" s="52"/>
      <c r="AK79" s="52"/>
      <c r="AL79" s="22"/>
      <c r="AM79" s="52"/>
      <c r="AN79" s="22"/>
      <c r="AO79" s="22"/>
      <c r="AP79" s="22"/>
      <c r="AQ79" s="22"/>
      <c r="AR79" s="22"/>
      <c r="AS79" s="22"/>
      <c r="AT79" s="22"/>
      <c r="AU79" s="22">
        <f t="shared" si="503"/>
        <v>0</v>
      </c>
      <c r="AV79" s="77"/>
      <c r="AW79" s="77"/>
      <c r="AX79" s="78"/>
      <c r="AY79" s="22">
        <f t="shared" si="415"/>
        <v>0</v>
      </c>
      <c r="AZ79" s="22"/>
      <c r="BA79" s="22"/>
      <c r="BB79" s="22"/>
      <c r="BC79" s="22"/>
      <c r="BD79" s="22"/>
      <c r="BE79" s="22">
        <f t="shared" si="416"/>
        <v>0</v>
      </c>
      <c r="BF79" s="22"/>
      <c r="BG79" s="22"/>
      <c r="BH79" s="22">
        <f t="shared" si="417"/>
        <v>0</v>
      </c>
      <c r="BI79" s="22"/>
      <c r="BJ79" s="40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19"/>
      <c r="CX79" s="19"/>
      <c r="CY79" s="19"/>
      <c r="CZ79" s="19"/>
      <c r="DA79" s="21"/>
      <c r="DB79" s="21"/>
      <c r="DC79" s="79"/>
      <c r="DD79" s="79"/>
      <c r="DE79" s="79"/>
      <c r="DF79" s="79"/>
      <c r="DG79" s="79"/>
      <c r="DH79" s="51"/>
      <c r="DI79" s="39"/>
      <c r="DJ79" s="80"/>
      <c r="DK79" s="39"/>
      <c r="DL79" s="39"/>
      <c r="DM79" s="48"/>
      <c r="DN79" s="39"/>
      <c r="DO79" s="39"/>
      <c r="DP79" s="39"/>
      <c r="DQ79" s="39"/>
      <c r="DR79" s="39"/>
      <c r="DS79" s="39"/>
      <c r="DT79" s="39"/>
      <c r="DU79" s="19">
        <f t="shared" si="444"/>
        <v>0</v>
      </c>
      <c r="DV79" s="40">
        <f t="shared" si="418"/>
        <v>0</v>
      </c>
      <c r="DW79" s="40">
        <f t="shared" si="419"/>
        <v>0</v>
      </c>
      <c r="DX79" s="46"/>
      <c r="DY79" s="21">
        <f t="shared" si="403"/>
        <v>0</v>
      </c>
      <c r="DZ79" s="19">
        <f t="shared" si="420"/>
        <v>0</v>
      </c>
      <c r="EA79" s="19">
        <f t="shared" si="421"/>
        <v>0</v>
      </c>
      <c r="EB79" s="19"/>
      <c r="EC79" s="48">
        <f t="shared" si="504"/>
        <v>0</v>
      </c>
      <c r="ED79" s="48">
        <f t="shared" si="505"/>
        <v>0</v>
      </c>
      <c r="EE79" s="22"/>
      <c r="EF79" s="22"/>
      <c r="EG79" s="22">
        <f t="shared" si="404"/>
        <v>0</v>
      </c>
      <c r="EH79" s="22"/>
      <c r="EI79" s="22"/>
      <c r="EJ79" s="22">
        <f t="shared" si="405"/>
        <v>0</v>
      </c>
      <c r="EK79" s="40"/>
      <c r="EL79" s="19"/>
      <c r="EM79" s="19"/>
      <c r="EN79" s="40">
        <f t="shared" si="424"/>
        <v>0</v>
      </c>
      <c r="EO79" s="40">
        <f t="shared" si="425"/>
        <v>0</v>
      </c>
      <c r="EP79" s="40"/>
      <c r="EQ79" s="21">
        <f t="shared" si="426"/>
        <v>0</v>
      </c>
      <c r="ER79" s="21"/>
      <c r="ES79" s="21">
        <f t="shared" si="511"/>
        <v>0</v>
      </c>
      <c r="ET79" s="21"/>
      <c r="EU79" s="19">
        <f t="shared" si="406"/>
        <v>0</v>
      </c>
      <c r="EV79" s="21"/>
      <c r="EW79" s="39"/>
      <c r="EX79" s="39">
        <f t="shared" si="407"/>
        <v>0</v>
      </c>
      <c r="EY79" s="39">
        <f t="shared" si="408"/>
        <v>0</v>
      </c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19">
        <f t="shared" si="427"/>
        <v>0</v>
      </c>
      <c r="FK79" s="19">
        <f t="shared" si="428"/>
        <v>0</v>
      </c>
      <c r="FL79" s="19">
        <f t="shared" si="429"/>
        <v>0</v>
      </c>
      <c r="FM79" s="19"/>
      <c r="FN79" s="19"/>
      <c r="FO79" s="22"/>
      <c r="FP79" s="22"/>
      <c r="FQ79" s="22"/>
      <c r="FR79" s="22"/>
      <c r="FS79" s="22"/>
      <c r="FT79" s="22"/>
      <c r="FU79" s="40"/>
      <c r="FV79" s="19"/>
      <c r="FW79" s="19"/>
      <c r="FX79" s="19"/>
      <c r="FY79" s="19"/>
      <c r="FZ79" s="19"/>
      <c r="GA79" s="19"/>
      <c r="GB79" s="19"/>
      <c r="GC79" s="20"/>
      <c r="GD79" s="20"/>
      <c r="GE79" s="21"/>
      <c r="GF79" s="21"/>
      <c r="GG79" s="21"/>
      <c r="GH79" s="21"/>
      <c r="GI79" s="21"/>
      <c r="GJ79" s="21"/>
      <c r="GK79" s="21"/>
      <c r="GL79" s="21"/>
      <c r="GM79" s="19"/>
      <c r="GN79" s="19"/>
      <c r="GO79" s="22"/>
      <c r="GP79" s="22"/>
      <c r="GQ79" s="22"/>
      <c r="GR79" s="22"/>
      <c r="GS79" s="22"/>
      <c r="GT79" s="22"/>
      <c r="GU79" s="43"/>
      <c r="GV79" s="19"/>
      <c r="GW79" s="19"/>
      <c r="GX79" s="19"/>
      <c r="GY79" s="19"/>
      <c r="GZ79" s="23"/>
      <c r="HA79" s="22"/>
      <c r="HB79" s="22"/>
      <c r="HC79" s="22"/>
      <c r="HD79" s="22"/>
      <c r="HE79" s="22"/>
      <c r="HF79" s="22"/>
      <c r="HG79" s="233"/>
    </row>
    <row r="80" spans="2:215" ht="15.75">
      <c r="B80" s="10"/>
      <c r="C80" s="184" t="s">
        <v>228</v>
      </c>
      <c r="D80" s="73"/>
      <c r="E80" s="73"/>
      <c r="F80" s="74"/>
      <c r="G80" s="74"/>
      <c r="H80" s="74"/>
      <c r="I80" s="73"/>
      <c r="J80" s="75"/>
      <c r="K80" s="75"/>
      <c r="L80" s="75"/>
      <c r="M80" s="73"/>
      <c r="N80" s="75"/>
      <c r="O80" s="74"/>
      <c r="P80" s="74"/>
      <c r="Q80" s="74"/>
      <c r="R80" s="75"/>
      <c r="S80" s="74"/>
      <c r="T80" s="74"/>
      <c r="U80" s="74"/>
      <c r="V80" s="52"/>
      <c r="W80" s="52"/>
      <c r="X80" s="52"/>
      <c r="Y80" s="52"/>
      <c r="Z80" s="22"/>
      <c r="AA80" s="52"/>
      <c r="AB80" s="22"/>
      <c r="AC80" s="52"/>
      <c r="AD80" s="22">
        <v>78.2</v>
      </c>
      <c r="AE80" s="22">
        <f t="shared" ref="AE80:AE86" si="512">+IF(AC80=0,,AF80/AC80*100)</f>
        <v>0</v>
      </c>
      <c r="AF80" s="22">
        <v>78.2</v>
      </c>
      <c r="AG80" s="22">
        <f t="shared" si="502"/>
        <v>100</v>
      </c>
      <c r="AH80" s="52"/>
      <c r="AI80" s="52"/>
      <c r="AJ80" s="52"/>
      <c r="AK80" s="52"/>
      <c r="AL80" s="22"/>
      <c r="AM80" s="52"/>
      <c r="AN80" s="22"/>
      <c r="AO80" s="22"/>
      <c r="AP80" s="22"/>
      <c r="AQ80" s="22"/>
      <c r="AR80" s="22">
        <v>38.479999999999997</v>
      </c>
      <c r="AS80" s="22">
        <f t="shared" ref="AS80:AS86" si="513">+IF(AQ80=0,,AT80/AQ80*100)</f>
        <v>0</v>
      </c>
      <c r="AT80" s="22">
        <v>42.59</v>
      </c>
      <c r="AU80" s="22">
        <f t="shared" si="503"/>
        <v>110.68087318087321</v>
      </c>
      <c r="AV80" s="77"/>
      <c r="AW80" s="77"/>
      <c r="AX80" s="239" t="s">
        <v>229</v>
      </c>
      <c r="AY80" s="22">
        <f t="shared" si="415"/>
        <v>203.35599999999999</v>
      </c>
      <c r="AZ80" s="22">
        <f>+[3]БПр!$AC$316/1000</f>
        <v>160.64699999999999</v>
      </c>
      <c r="BA80" s="22">
        <f>+[3]БПр!$AB$318/1000</f>
        <v>20.795999999999999</v>
      </c>
      <c r="BB80" s="22">
        <f>+[3]БПр!$AD$318/1000</f>
        <v>21.913000000000004</v>
      </c>
      <c r="BC80" s="22">
        <v>84.55</v>
      </c>
      <c r="BD80" s="22">
        <v>84.55</v>
      </c>
      <c r="BE80" s="22">
        <f t="shared" si="416"/>
        <v>100</v>
      </c>
      <c r="BF80" s="22">
        <v>42.59</v>
      </c>
      <c r="BG80" s="22">
        <v>44.38</v>
      </c>
      <c r="BH80" s="22">
        <f t="shared" si="417"/>
        <v>104.20286452218829</v>
      </c>
      <c r="BI80" s="22"/>
      <c r="BJ80" s="239" t="s">
        <v>230</v>
      </c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19"/>
      <c r="CX80" s="19"/>
      <c r="CY80" s="19"/>
      <c r="CZ80" s="19"/>
      <c r="DA80" s="21"/>
      <c r="DB80" s="21"/>
      <c r="DC80" s="79"/>
      <c r="DD80" s="79"/>
      <c r="DE80" s="79"/>
      <c r="DF80" s="79"/>
      <c r="DG80" s="79"/>
      <c r="DH80" s="51"/>
      <c r="DI80" s="39"/>
      <c r="DJ80" s="80"/>
      <c r="DK80" s="39"/>
      <c r="DL80" s="39"/>
      <c r="DM80" s="48"/>
      <c r="DN80" s="39"/>
      <c r="DO80" s="39"/>
      <c r="DP80" s="39"/>
      <c r="DQ80" s="39"/>
      <c r="DR80" s="39"/>
      <c r="DS80" s="39"/>
      <c r="DT80" s="39"/>
      <c r="DU80" s="19">
        <f t="shared" si="444"/>
        <v>5798.2675677966108</v>
      </c>
      <c r="DV80" s="40">
        <f>+(BG80*AZ80)</f>
        <v>7129.51386</v>
      </c>
      <c r="DW80" s="40">
        <f t="shared" si="419"/>
        <v>13582.703849999998</v>
      </c>
      <c r="DX80" s="21">
        <f>+'[1]тарифы (НВВ) население на 4,2%'!CO125</f>
        <v>49.273289383582473</v>
      </c>
      <c r="DY80" s="21">
        <f t="shared" si="403"/>
        <v>52.489651094027209</v>
      </c>
      <c r="DZ80" s="19">
        <f t="shared" si="420"/>
        <v>17.193749799999999</v>
      </c>
      <c r="EA80" s="19">
        <f t="shared" si="421"/>
        <v>17.193749799999999</v>
      </c>
      <c r="EB80" s="19"/>
      <c r="EC80" s="48">
        <f>+(BC80-BF80)*AZ80</f>
        <v>6740.7481199999984</v>
      </c>
      <c r="ED80" s="48">
        <f>+(BD80-BG80)*AZ80</f>
        <v>6453.1899899999989</v>
      </c>
      <c r="EE80" s="22">
        <v>84.55</v>
      </c>
      <c r="EF80" s="22">
        <v>84.55</v>
      </c>
      <c r="EG80" s="22">
        <f t="shared" si="404"/>
        <v>100</v>
      </c>
      <c r="EH80" s="22">
        <v>44.38</v>
      </c>
      <c r="EI80" s="22">
        <v>48.13</v>
      </c>
      <c r="EJ80" s="22">
        <f t="shared" si="405"/>
        <v>108.44975214060388</v>
      </c>
      <c r="EK80" s="239" t="s">
        <v>231</v>
      </c>
      <c r="EL80" s="19">
        <v>203.36</v>
      </c>
      <c r="EM80" s="19">
        <v>160.65</v>
      </c>
      <c r="EN80" s="40">
        <f>+(EI80*EM80)</f>
        <v>7732.0845000000008</v>
      </c>
      <c r="EO80" s="40">
        <f t="shared" si="425"/>
        <v>13582.9575</v>
      </c>
      <c r="EP80" s="40"/>
      <c r="EQ80" s="21">
        <f t="shared" si="426"/>
        <v>56.924896510940279</v>
      </c>
      <c r="ER80" s="21"/>
      <c r="ES80" s="21">
        <f t="shared" si="511"/>
        <v>17194.088</v>
      </c>
      <c r="ET80" s="21"/>
      <c r="EU80" s="19">
        <f t="shared" si="406"/>
        <v>17194.088</v>
      </c>
      <c r="EV80" s="21"/>
      <c r="EW80" s="39"/>
      <c r="EX80" s="39">
        <f t="shared" si="407"/>
        <v>17193.749799999998</v>
      </c>
      <c r="EY80" s="39">
        <f t="shared" si="408"/>
        <v>17193.749799999998</v>
      </c>
      <c r="EZ80" s="39"/>
      <c r="FA80" s="39"/>
      <c r="FB80" s="39"/>
      <c r="FC80" s="39"/>
      <c r="FD80" s="39"/>
      <c r="FE80" s="39"/>
      <c r="FF80" s="39"/>
      <c r="FG80" s="39"/>
      <c r="FH80" s="39"/>
      <c r="FI80" s="39"/>
      <c r="FJ80" s="19">
        <f>+(EE80-EH80)*EM80</f>
        <v>6453.3104999999996</v>
      </c>
      <c r="FK80" s="19">
        <f>+(EF80-EI80)*EM80</f>
        <v>5850.8729999999996</v>
      </c>
      <c r="FL80" s="19">
        <f t="shared" si="429"/>
        <v>12304.183499999999</v>
      </c>
      <c r="FM80" s="19">
        <v>203.36</v>
      </c>
      <c r="FN80" s="19">
        <v>160.65</v>
      </c>
      <c r="FO80" s="22">
        <v>95.45</v>
      </c>
      <c r="FP80" s="22">
        <v>96.38</v>
      </c>
      <c r="FQ80" s="22"/>
      <c r="FR80" s="22">
        <v>65.98</v>
      </c>
      <c r="FS80" s="22">
        <v>67.959999999999994</v>
      </c>
      <c r="FT80" s="22"/>
      <c r="FU80" s="239" t="s">
        <v>658</v>
      </c>
      <c r="FV80" s="19"/>
      <c r="FW80" s="19"/>
      <c r="FX80" s="19"/>
      <c r="FY80" s="19"/>
      <c r="FZ80" s="19"/>
      <c r="GA80" s="19"/>
      <c r="GB80" s="19"/>
      <c r="GC80" s="20"/>
      <c r="GD80" s="20"/>
      <c r="GE80" s="21"/>
      <c r="GF80" s="21"/>
      <c r="GG80" s="21"/>
      <c r="GH80" s="21"/>
      <c r="GI80" s="21"/>
      <c r="GJ80" s="21"/>
      <c r="GK80" s="21"/>
      <c r="GL80" s="21"/>
      <c r="GM80" s="19"/>
      <c r="GN80" s="19"/>
      <c r="GO80" s="22">
        <v>96.38</v>
      </c>
      <c r="GP80" s="22">
        <v>99.32</v>
      </c>
      <c r="GQ80" s="22"/>
      <c r="GR80" s="22">
        <v>67.959999999999994</v>
      </c>
      <c r="GS80" s="22">
        <v>70.680000000000007</v>
      </c>
      <c r="GT80" s="22"/>
      <c r="GU80" s="239" t="s">
        <v>658</v>
      </c>
      <c r="GV80" s="19"/>
      <c r="GW80" s="19"/>
      <c r="GX80" s="19"/>
      <c r="GY80" s="19"/>
      <c r="GZ80" s="23"/>
      <c r="HA80" s="22">
        <v>99.32</v>
      </c>
      <c r="HB80" s="22">
        <v>101.99</v>
      </c>
      <c r="HC80" s="22"/>
      <c r="HD80" s="22">
        <v>70.680000000000007</v>
      </c>
      <c r="HE80" s="22">
        <v>73.510000000000005</v>
      </c>
      <c r="HF80" s="22"/>
      <c r="HG80" s="239" t="s">
        <v>658</v>
      </c>
    </row>
    <row r="81" spans="2:215" ht="15.75">
      <c r="B81" s="10"/>
      <c r="C81" s="184" t="s">
        <v>144</v>
      </c>
      <c r="D81" s="73"/>
      <c r="E81" s="73"/>
      <c r="F81" s="74"/>
      <c r="G81" s="74"/>
      <c r="H81" s="74"/>
      <c r="I81" s="73"/>
      <c r="J81" s="75"/>
      <c r="K81" s="75"/>
      <c r="L81" s="75"/>
      <c r="M81" s="73"/>
      <c r="N81" s="75"/>
      <c r="O81" s="74"/>
      <c r="P81" s="74"/>
      <c r="Q81" s="74"/>
      <c r="R81" s="75"/>
      <c r="S81" s="74"/>
      <c r="T81" s="74"/>
      <c r="U81" s="74"/>
      <c r="V81" s="52"/>
      <c r="W81" s="52"/>
      <c r="X81" s="52"/>
      <c r="Y81" s="52"/>
      <c r="Z81" s="22"/>
      <c r="AA81" s="52"/>
      <c r="AB81" s="22"/>
      <c r="AC81" s="52"/>
      <c r="AD81" s="22">
        <v>41.55</v>
      </c>
      <c r="AE81" s="22">
        <f t="shared" si="512"/>
        <v>0</v>
      </c>
      <c r="AF81" s="22">
        <v>41.55</v>
      </c>
      <c r="AG81" s="22">
        <f t="shared" si="502"/>
        <v>100</v>
      </c>
      <c r="AH81" s="52"/>
      <c r="AI81" s="52"/>
      <c r="AJ81" s="52"/>
      <c r="AK81" s="52"/>
      <c r="AL81" s="22"/>
      <c r="AM81" s="52"/>
      <c r="AN81" s="22"/>
      <c r="AO81" s="22"/>
      <c r="AP81" s="22"/>
      <c r="AQ81" s="22"/>
      <c r="AR81" s="22">
        <v>20</v>
      </c>
      <c r="AS81" s="22">
        <f t="shared" si="513"/>
        <v>0</v>
      </c>
      <c r="AT81" s="22">
        <v>22.13</v>
      </c>
      <c r="AU81" s="22">
        <f t="shared" si="503"/>
        <v>110.65</v>
      </c>
      <c r="AV81" s="77"/>
      <c r="AW81" s="77"/>
      <c r="AX81" s="239"/>
      <c r="AY81" s="22">
        <f t="shared" si="415"/>
        <v>77.756</v>
      </c>
      <c r="AZ81" s="22">
        <f>+[4]БПр!$O$518/1000</f>
        <v>59.477000000000004</v>
      </c>
      <c r="BA81" s="22">
        <f>+[4]БПр!$N$518/1000</f>
        <v>13.527999999999999</v>
      </c>
      <c r="BB81" s="22">
        <f>+[4]БПр!$P$518/1000</f>
        <v>4.7510000000000003</v>
      </c>
      <c r="BC81" s="22">
        <v>44.96</v>
      </c>
      <c r="BD81" s="22">
        <v>44.96</v>
      </c>
      <c r="BE81" s="22">
        <f t="shared" si="416"/>
        <v>100</v>
      </c>
      <c r="BF81" s="22">
        <v>22.13</v>
      </c>
      <c r="BG81" s="22">
        <v>23.06</v>
      </c>
      <c r="BH81" s="22">
        <f t="shared" si="417"/>
        <v>104.20244012652509</v>
      </c>
      <c r="BI81" s="22"/>
      <c r="BJ81" s="23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19"/>
      <c r="CX81" s="19"/>
      <c r="CY81" s="19"/>
      <c r="CZ81" s="19"/>
      <c r="DA81" s="21"/>
      <c r="DB81" s="21"/>
      <c r="DC81" s="79"/>
      <c r="DD81" s="79"/>
      <c r="DE81" s="79"/>
      <c r="DF81" s="79"/>
      <c r="DG81" s="79"/>
      <c r="DH81" s="51"/>
      <c r="DI81" s="39"/>
      <c r="DJ81" s="80"/>
      <c r="DK81" s="39"/>
      <c r="DL81" s="39"/>
      <c r="DM81" s="48"/>
      <c r="DN81" s="39"/>
      <c r="DO81" s="39"/>
      <c r="DP81" s="39"/>
      <c r="DQ81" s="39"/>
      <c r="DR81" s="39"/>
      <c r="DS81" s="39"/>
      <c r="DT81" s="39"/>
      <c r="DU81" s="19">
        <f t="shared" si="444"/>
        <v>1115.4457711864409</v>
      </c>
      <c r="DV81" s="40">
        <f>+(BG81*AZ81)</f>
        <v>1371.53962</v>
      </c>
      <c r="DW81" s="40">
        <f t="shared" si="419"/>
        <v>2674.0859200000004</v>
      </c>
      <c r="DX81" s="21">
        <f>+'[1]тарифы (НВВ) население на 4,2%'!CO126</f>
        <v>49.314074351531048</v>
      </c>
      <c r="DY81" s="21">
        <f t="shared" si="403"/>
        <v>51.290035587188612</v>
      </c>
      <c r="DZ81" s="19">
        <f t="shared" si="420"/>
        <v>3.49590976</v>
      </c>
      <c r="EA81" s="19">
        <f t="shared" si="421"/>
        <v>3.49590976</v>
      </c>
      <c r="EB81" s="19"/>
      <c r="EC81" s="48">
        <f>+(BC81-BF81)*AZ81</f>
        <v>1357.8599100000001</v>
      </c>
      <c r="ED81" s="48">
        <f>+(BD81-BG81)*AZ81</f>
        <v>1302.5463000000002</v>
      </c>
      <c r="EE81" s="22">
        <v>44.96</v>
      </c>
      <c r="EF81" s="22">
        <v>47.56</v>
      </c>
      <c r="EG81" s="22">
        <f t="shared" si="404"/>
        <v>105.78291814946618</v>
      </c>
      <c r="EH81" s="22">
        <v>23.06</v>
      </c>
      <c r="EI81" s="22">
        <v>25</v>
      </c>
      <c r="EJ81" s="22">
        <f t="shared" si="405"/>
        <v>108.41283607979186</v>
      </c>
      <c r="EK81" s="239"/>
      <c r="EL81" s="19">
        <v>77.760000000000005</v>
      </c>
      <c r="EM81" s="19">
        <v>59.48</v>
      </c>
      <c r="EN81" s="40">
        <f>+(EI81*EM81)</f>
        <v>1487</v>
      </c>
      <c r="EO81" s="40">
        <f t="shared" si="425"/>
        <v>2828.8688000000002</v>
      </c>
      <c r="EP81" s="40"/>
      <c r="EQ81" s="21">
        <f t="shared" si="426"/>
        <v>52.565180824222033</v>
      </c>
      <c r="ER81" s="21"/>
      <c r="ES81" s="21">
        <f t="shared" si="511"/>
        <v>3496.0896000000002</v>
      </c>
      <c r="ET81" s="21"/>
      <c r="EU81" s="19">
        <f t="shared" si="406"/>
        <v>3698.2656000000006</v>
      </c>
      <c r="EV81" s="21"/>
      <c r="EW81" s="39"/>
      <c r="EX81" s="39">
        <f t="shared" si="407"/>
        <v>3495.90976</v>
      </c>
      <c r="EY81" s="39">
        <f t="shared" si="408"/>
        <v>3698.0753600000003</v>
      </c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19">
        <f>+(EE81-EH81)*EM81</f>
        <v>1302.6120000000001</v>
      </c>
      <c r="FK81" s="19">
        <f>+(EF81-EI81)*EM81</f>
        <v>1341.8688</v>
      </c>
      <c r="FL81" s="19">
        <f t="shared" si="429"/>
        <v>2644.4808000000003</v>
      </c>
      <c r="FM81" s="19">
        <v>77.760000000000005</v>
      </c>
      <c r="FN81" s="19">
        <v>59.48</v>
      </c>
      <c r="FO81" s="22">
        <v>53.15</v>
      </c>
      <c r="FP81" s="22">
        <v>54.34</v>
      </c>
      <c r="FQ81" s="22"/>
      <c r="FR81" s="22">
        <v>34.25</v>
      </c>
      <c r="FS81" s="22">
        <v>35.28</v>
      </c>
      <c r="FT81" s="22"/>
      <c r="FU81" s="239"/>
      <c r="FV81" s="19"/>
      <c r="FW81" s="19"/>
      <c r="FX81" s="19"/>
      <c r="FY81" s="19"/>
      <c r="FZ81" s="19"/>
      <c r="GA81" s="19"/>
      <c r="GB81" s="19"/>
      <c r="GC81" s="20"/>
      <c r="GD81" s="20"/>
      <c r="GE81" s="21"/>
      <c r="GF81" s="21"/>
      <c r="GG81" s="21"/>
      <c r="GH81" s="21"/>
      <c r="GI81" s="21"/>
      <c r="GJ81" s="21"/>
      <c r="GK81" s="21"/>
      <c r="GL81" s="21"/>
      <c r="GM81" s="19"/>
      <c r="GN81" s="19"/>
      <c r="GO81" s="22">
        <v>54.34</v>
      </c>
      <c r="GP81" s="22">
        <v>56</v>
      </c>
      <c r="GQ81" s="22"/>
      <c r="GR81" s="22">
        <v>35.28</v>
      </c>
      <c r="GS81" s="22">
        <v>36.69</v>
      </c>
      <c r="GT81" s="22"/>
      <c r="GU81" s="239"/>
      <c r="GV81" s="19"/>
      <c r="GW81" s="19"/>
      <c r="GX81" s="19"/>
      <c r="GY81" s="19"/>
      <c r="GZ81" s="23"/>
      <c r="HA81" s="22">
        <v>56</v>
      </c>
      <c r="HB81" s="22">
        <v>57.47</v>
      </c>
      <c r="HC81" s="22"/>
      <c r="HD81" s="22">
        <v>36.69</v>
      </c>
      <c r="HE81" s="22">
        <v>38.159999999999997</v>
      </c>
      <c r="HF81" s="22"/>
      <c r="HG81" s="239"/>
    </row>
    <row r="82" spans="2:215" ht="15.75">
      <c r="B82" s="10" t="s">
        <v>232</v>
      </c>
      <c r="C82" s="81" t="s">
        <v>607</v>
      </c>
      <c r="D82" s="82"/>
      <c r="E82" s="73"/>
      <c r="F82" s="74"/>
      <c r="G82" s="74"/>
      <c r="H82" s="74"/>
      <c r="I82" s="75"/>
      <c r="J82" s="73"/>
      <c r="K82" s="73"/>
      <c r="L82" s="75"/>
      <c r="M82" s="82"/>
      <c r="N82" s="75"/>
      <c r="O82" s="74"/>
      <c r="P82" s="74"/>
      <c r="Q82" s="74"/>
      <c r="R82" s="75"/>
      <c r="S82" s="74"/>
      <c r="T82" s="74"/>
      <c r="U82" s="74"/>
      <c r="V82" s="52"/>
      <c r="W82" s="52"/>
      <c r="X82" s="52"/>
      <c r="Y82" s="52"/>
      <c r="Z82" s="22"/>
      <c r="AA82" s="52"/>
      <c r="AB82" s="22"/>
      <c r="AC82" s="52"/>
      <c r="AD82" s="52"/>
      <c r="AE82" s="22"/>
      <c r="AF82" s="52"/>
      <c r="AG82" s="22"/>
      <c r="AH82" s="52"/>
      <c r="AI82" s="52"/>
      <c r="AJ82" s="52"/>
      <c r="AK82" s="52"/>
      <c r="AL82" s="22"/>
      <c r="AM82" s="52"/>
      <c r="AN82" s="22"/>
      <c r="AO82" s="22"/>
      <c r="AP82" s="22"/>
      <c r="AQ82" s="52"/>
      <c r="AR82" s="52"/>
      <c r="AS82" s="22"/>
      <c r="AT82" s="22"/>
      <c r="AU82" s="22"/>
      <c r="AV82" s="77"/>
      <c r="AW82" s="77"/>
      <c r="AX82" s="78"/>
      <c r="AY82" s="22"/>
      <c r="AZ82" s="22"/>
      <c r="BA82" s="22"/>
      <c r="BB82" s="22"/>
      <c r="BC82" s="52"/>
      <c r="BD82" s="52"/>
      <c r="BE82" s="22"/>
      <c r="BF82" s="52"/>
      <c r="BG82" s="52"/>
      <c r="BH82" s="22"/>
      <c r="BI82" s="22"/>
      <c r="BJ82" s="40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19"/>
      <c r="CX82" s="19"/>
      <c r="CY82" s="19"/>
      <c r="CZ82" s="19"/>
      <c r="DA82" s="21"/>
      <c r="DB82" s="21"/>
      <c r="DC82" s="79"/>
      <c r="DD82" s="79"/>
      <c r="DE82" s="79"/>
      <c r="DF82" s="79"/>
      <c r="DG82" s="79"/>
      <c r="DH82" s="51"/>
      <c r="DI82" s="39"/>
      <c r="DJ82" s="80"/>
      <c r="DK82" s="39"/>
      <c r="DL82" s="39"/>
      <c r="DM82" s="48"/>
      <c r="DN82" s="39"/>
      <c r="DO82" s="39"/>
      <c r="DP82" s="39"/>
      <c r="DQ82" s="39"/>
      <c r="DR82" s="39"/>
      <c r="DS82" s="39"/>
      <c r="DT82" s="39"/>
      <c r="DU82" s="19"/>
      <c r="DV82" s="40"/>
      <c r="DW82" s="40"/>
      <c r="DX82" s="21"/>
      <c r="DY82" s="21"/>
      <c r="DZ82" s="19"/>
      <c r="EA82" s="19"/>
      <c r="EB82" s="19"/>
      <c r="EC82" s="48"/>
      <c r="ED82" s="48"/>
      <c r="EE82" s="52"/>
      <c r="EF82" s="52"/>
      <c r="EG82" s="22"/>
      <c r="EH82" s="52"/>
      <c r="EI82" s="52"/>
      <c r="EJ82" s="22"/>
      <c r="EK82" s="40"/>
      <c r="EL82" s="19"/>
      <c r="EM82" s="19"/>
      <c r="EN82" s="40"/>
      <c r="EO82" s="40"/>
      <c r="EP82" s="40"/>
      <c r="EQ82" s="21"/>
      <c r="ER82" s="21"/>
      <c r="ES82" s="19"/>
      <c r="ET82" s="19"/>
      <c r="EU82" s="19"/>
      <c r="EV82" s="21"/>
      <c r="EW82" s="39"/>
      <c r="EX82" s="39"/>
      <c r="EY82" s="39"/>
      <c r="EZ82" s="39"/>
      <c r="FA82" s="39"/>
      <c r="FB82" s="39"/>
      <c r="FC82" s="39"/>
      <c r="FD82" s="39"/>
      <c r="FE82" s="39"/>
      <c r="FF82" s="39"/>
      <c r="FG82" s="39"/>
      <c r="FH82" s="39"/>
      <c r="FI82" s="39"/>
      <c r="FJ82" s="19"/>
      <c r="FK82" s="19"/>
      <c r="FL82" s="19"/>
      <c r="FM82" s="19"/>
      <c r="FN82" s="19"/>
      <c r="FO82" s="52"/>
      <c r="FP82" s="52"/>
      <c r="FQ82" s="22"/>
      <c r="FR82" s="52"/>
      <c r="FS82" s="22"/>
      <c r="FT82" s="22"/>
      <c r="FU82" s="40"/>
      <c r="FV82" s="19"/>
      <c r="FW82" s="19"/>
      <c r="FX82" s="19"/>
      <c r="FY82" s="19"/>
      <c r="FZ82" s="19"/>
      <c r="GA82" s="19"/>
      <c r="GB82" s="19"/>
      <c r="GC82" s="20"/>
      <c r="GD82" s="20"/>
      <c r="GE82" s="19"/>
      <c r="GF82" s="21"/>
      <c r="GG82" s="19"/>
      <c r="GH82" s="19"/>
      <c r="GI82" s="19"/>
      <c r="GJ82" s="21"/>
      <c r="GK82" s="19"/>
      <c r="GL82" s="19"/>
      <c r="GM82" s="19"/>
      <c r="GN82" s="19"/>
      <c r="GO82" s="52"/>
      <c r="GP82" s="52"/>
      <c r="GQ82" s="22"/>
      <c r="GR82" s="22"/>
      <c r="GS82" s="22"/>
      <c r="GT82" s="22"/>
      <c r="GU82" s="43"/>
      <c r="GV82" s="19"/>
      <c r="GW82" s="19"/>
      <c r="GX82" s="19"/>
      <c r="GY82" s="19"/>
      <c r="GZ82" s="19"/>
      <c r="HA82" s="52"/>
      <c r="HB82" s="52"/>
      <c r="HC82" s="22"/>
      <c r="HD82" s="52"/>
      <c r="HE82" s="22"/>
      <c r="HF82" s="22"/>
      <c r="HG82" s="233"/>
    </row>
    <row r="83" spans="2:215" ht="15.75">
      <c r="B83" s="10"/>
      <c r="C83" s="161" t="s">
        <v>153</v>
      </c>
      <c r="D83" s="82"/>
      <c r="E83" s="73"/>
      <c r="F83" s="74"/>
      <c r="G83" s="74"/>
      <c r="H83" s="74"/>
      <c r="I83" s="75"/>
      <c r="J83" s="73"/>
      <c r="K83" s="73"/>
      <c r="L83" s="75"/>
      <c r="M83" s="82"/>
      <c r="N83" s="75"/>
      <c r="O83" s="74"/>
      <c r="P83" s="74"/>
      <c r="Q83" s="74"/>
      <c r="R83" s="75"/>
      <c r="S83" s="74"/>
      <c r="T83" s="74"/>
      <c r="U83" s="74"/>
      <c r="V83" s="52"/>
      <c r="W83" s="52"/>
      <c r="X83" s="52"/>
      <c r="Y83" s="52"/>
      <c r="Z83" s="22"/>
      <c r="AA83" s="52"/>
      <c r="AB83" s="22"/>
      <c r="AC83" s="52"/>
      <c r="AD83" s="52"/>
      <c r="AE83" s="22"/>
      <c r="AF83" s="52"/>
      <c r="AG83" s="22"/>
      <c r="AH83" s="52"/>
      <c r="AI83" s="52"/>
      <c r="AJ83" s="52"/>
      <c r="AK83" s="52"/>
      <c r="AL83" s="22"/>
      <c r="AM83" s="52"/>
      <c r="AN83" s="22"/>
      <c r="AO83" s="22"/>
      <c r="AP83" s="22"/>
      <c r="AQ83" s="52"/>
      <c r="AR83" s="52"/>
      <c r="AS83" s="22"/>
      <c r="AT83" s="22"/>
      <c r="AU83" s="22"/>
      <c r="AV83" s="77"/>
      <c r="AW83" s="77"/>
      <c r="AX83" s="78"/>
      <c r="AY83" s="22"/>
      <c r="AZ83" s="22"/>
      <c r="BA83" s="22"/>
      <c r="BB83" s="22"/>
      <c r="BC83" s="52"/>
      <c r="BD83" s="52"/>
      <c r="BE83" s="22"/>
      <c r="BF83" s="52"/>
      <c r="BG83" s="52"/>
      <c r="BH83" s="22"/>
      <c r="BI83" s="22"/>
      <c r="BJ83" s="40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19"/>
      <c r="CX83" s="19"/>
      <c r="CY83" s="19"/>
      <c r="CZ83" s="19"/>
      <c r="DA83" s="21"/>
      <c r="DB83" s="21"/>
      <c r="DC83" s="79"/>
      <c r="DD83" s="79"/>
      <c r="DE83" s="79"/>
      <c r="DF83" s="79"/>
      <c r="DG83" s="79"/>
      <c r="DH83" s="51"/>
      <c r="DI83" s="39"/>
      <c r="DJ83" s="80"/>
      <c r="DK83" s="39"/>
      <c r="DL83" s="39"/>
      <c r="DM83" s="48"/>
      <c r="DN83" s="39"/>
      <c r="DO83" s="39"/>
      <c r="DP83" s="39"/>
      <c r="DQ83" s="39"/>
      <c r="DR83" s="39"/>
      <c r="DS83" s="39"/>
      <c r="DT83" s="39"/>
      <c r="DU83" s="19"/>
      <c r="DV83" s="40"/>
      <c r="DW83" s="40"/>
      <c r="DX83" s="21"/>
      <c r="DY83" s="21"/>
      <c r="DZ83" s="19"/>
      <c r="EA83" s="19"/>
      <c r="EB83" s="19"/>
      <c r="EC83" s="48"/>
      <c r="ED83" s="48"/>
      <c r="EE83" s="52"/>
      <c r="EF83" s="52"/>
      <c r="EG83" s="22"/>
      <c r="EH83" s="52"/>
      <c r="EI83" s="52"/>
      <c r="EJ83" s="22"/>
      <c r="EK83" s="40"/>
      <c r="EL83" s="19"/>
      <c r="EM83" s="19"/>
      <c r="EN83" s="40"/>
      <c r="EO83" s="40"/>
      <c r="EP83" s="40"/>
      <c r="EQ83" s="21"/>
      <c r="ER83" s="21"/>
      <c r="ES83" s="19"/>
      <c r="ET83" s="19"/>
      <c r="EU83" s="19"/>
      <c r="EV83" s="21"/>
      <c r="EW83" s="39"/>
      <c r="EX83" s="39"/>
      <c r="EY83" s="39"/>
      <c r="EZ83" s="39"/>
      <c r="FA83" s="39"/>
      <c r="FB83" s="39"/>
      <c r="FC83" s="39"/>
      <c r="FD83" s="39"/>
      <c r="FE83" s="39"/>
      <c r="FF83" s="39"/>
      <c r="FG83" s="39"/>
      <c r="FH83" s="39"/>
      <c r="FI83" s="39"/>
      <c r="FJ83" s="19"/>
      <c r="FK83" s="19"/>
      <c r="FL83" s="19"/>
      <c r="FM83" s="19"/>
      <c r="FN83" s="19"/>
      <c r="FO83" s="52">
        <v>9959.61</v>
      </c>
      <c r="FP83" s="52">
        <v>10382.51</v>
      </c>
      <c r="FQ83" s="22"/>
      <c r="FR83" s="52" t="s">
        <v>633</v>
      </c>
      <c r="FS83" s="22" t="s">
        <v>633</v>
      </c>
      <c r="FT83" s="22"/>
      <c r="FU83" s="40" t="s">
        <v>657</v>
      </c>
      <c r="FV83" s="19"/>
      <c r="FW83" s="19"/>
      <c r="FX83" s="19"/>
      <c r="FY83" s="19"/>
      <c r="FZ83" s="19"/>
      <c r="GA83" s="19"/>
      <c r="GB83" s="19"/>
      <c r="GC83" s="20"/>
      <c r="GD83" s="20"/>
      <c r="GE83" s="19"/>
      <c r="GF83" s="21"/>
      <c r="GG83" s="19"/>
      <c r="GH83" s="19"/>
      <c r="GI83" s="19"/>
      <c r="GJ83" s="21"/>
      <c r="GK83" s="19"/>
      <c r="GL83" s="19"/>
      <c r="GM83" s="19"/>
      <c r="GN83" s="19"/>
      <c r="GO83" s="22">
        <v>10382.51</v>
      </c>
      <c r="GP83" s="22">
        <v>10697.6</v>
      </c>
      <c r="GQ83" s="22"/>
      <c r="GR83" s="22" t="s">
        <v>633</v>
      </c>
      <c r="GS83" s="22" t="s">
        <v>633</v>
      </c>
      <c r="GT83" s="22"/>
      <c r="GU83" s="40" t="s">
        <v>657</v>
      </c>
      <c r="GV83" s="19"/>
      <c r="GW83" s="19"/>
      <c r="GX83" s="19"/>
      <c r="GY83" s="19"/>
      <c r="GZ83" s="23"/>
      <c r="HA83" s="22">
        <v>10697.6</v>
      </c>
      <c r="HB83" s="22">
        <v>11037.88</v>
      </c>
      <c r="HC83" s="22"/>
      <c r="HD83" s="52" t="s">
        <v>633</v>
      </c>
      <c r="HE83" s="22" t="s">
        <v>633</v>
      </c>
      <c r="HF83" s="22"/>
      <c r="HG83" s="236" t="s">
        <v>657</v>
      </c>
    </row>
    <row r="84" spans="2:215" ht="15.75">
      <c r="B84" s="15"/>
      <c r="C84" s="81" t="s">
        <v>636</v>
      </c>
      <c r="D84" s="82"/>
      <c r="E84" s="73"/>
      <c r="F84" s="74"/>
      <c r="G84" s="74"/>
      <c r="H84" s="74"/>
      <c r="I84" s="75"/>
      <c r="J84" s="73"/>
      <c r="K84" s="73"/>
      <c r="L84" s="75"/>
      <c r="M84" s="82"/>
      <c r="N84" s="75"/>
      <c r="O84" s="74"/>
      <c r="P84" s="74"/>
      <c r="Q84" s="74"/>
      <c r="R84" s="75"/>
      <c r="S84" s="74"/>
      <c r="T84" s="74"/>
      <c r="U84" s="74"/>
      <c r="V84" s="52"/>
      <c r="W84" s="52"/>
      <c r="X84" s="52"/>
      <c r="Y84" s="52"/>
      <c r="Z84" s="22"/>
      <c r="AA84" s="52"/>
      <c r="AB84" s="22"/>
      <c r="AC84" s="52"/>
      <c r="AD84" s="52"/>
      <c r="AE84" s="22"/>
      <c r="AF84" s="52"/>
      <c r="AG84" s="22"/>
      <c r="AH84" s="52"/>
      <c r="AI84" s="52"/>
      <c r="AJ84" s="52"/>
      <c r="AK84" s="52"/>
      <c r="AL84" s="22"/>
      <c r="AM84" s="52"/>
      <c r="AN84" s="22"/>
      <c r="AO84" s="22"/>
      <c r="AP84" s="22"/>
      <c r="AQ84" s="52"/>
      <c r="AR84" s="52"/>
      <c r="AS84" s="22"/>
      <c r="AT84" s="22"/>
      <c r="AU84" s="22"/>
      <c r="AV84" s="77"/>
      <c r="AW84" s="77"/>
      <c r="AX84" s="78"/>
      <c r="AY84" s="22"/>
      <c r="AZ84" s="22"/>
      <c r="BA84" s="22"/>
      <c r="BB84" s="22"/>
      <c r="BC84" s="52"/>
      <c r="BD84" s="52"/>
      <c r="BE84" s="22"/>
      <c r="BF84" s="52"/>
      <c r="BG84" s="52"/>
      <c r="BH84" s="22"/>
      <c r="BI84" s="22"/>
      <c r="BJ84" s="40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19"/>
      <c r="CX84" s="19"/>
      <c r="CY84" s="19"/>
      <c r="CZ84" s="19"/>
      <c r="DA84" s="21"/>
      <c r="DB84" s="21"/>
      <c r="DC84" s="79"/>
      <c r="DD84" s="79"/>
      <c r="DE84" s="79"/>
      <c r="DF84" s="79"/>
      <c r="DG84" s="79"/>
      <c r="DH84" s="51"/>
      <c r="DI84" s="39"/>
      <c r="DJ84" s="80"/>
      <c r="DK84" s="39"/>
      <c r="DL84" s="39"/>
      <c r="DM84" s="48"/>
      <c r="DN84" s="39"/>
      <c r="DO84" s="39"/>
      <c r="DP84" s="39"/>
      <c r="DQ84" s="39"/>
      <c r="DR84" s="39"/>
      <c r="DS84" s="39"/>
      <c r="DT84" s="39"/>
      <c r="DU84" s="19"/>
      <c r="DV84" s="40"/>
      <c r="DW84" s="40"/>
      <c r="DX84" s="21"/>
      <c r="DY84" s="21"/>
      <c r="DZ84" s="19"/>
      <c r="EA84" s="19"/>
      <c r="EB84" s="19"/>
      <c r="EC84" s="48"/>
      <c r="ED84" s="48"/>
      <c r="EE84" s="52"/>
      <c r="EF84" s="52"/>
      <c r="EG84" s="22"/>
      <c r="EH84" s="52"/>
      <c r="EI84" s="52"/>
      <c r="EJ84" s="22"/>
      <c r="EK84" s="40"/>
      <c r="EL84" s="19"/>
      <c r="EM84" s="19"/>
      <c r="EN84" s="40"/>
      <c r="EO84" s="40"/>
      <c r="EP84" s="40"/>
      <c r="EQ84" s="21"/>
      <c r="ER84" s="21"/>
      <c r="ES84" s="19"/>
      <c r="ET84" s="19"/>
      <c r="EU84" s="19"/>
      <c r="EV84" s="21"/>
      <c r="EW84" s="39"/>
      <c r="EX84" s="39"/>
      <c r="EY84" s="39"/>
      <c r="EZ84" s="39"/>
      <c r="FA84" s="39"/>
      <c r="FB84" s="39"/>
      <c r="FC84" s="39"/>
      <c r="FD84" s="39"/>
      <c r="FE84" s="39"/>
      <c r="FF84" s="39"/>
      <c r="FG84" s="39"/>
      <c r="FH84" s="39"/>
      <c r="FI84" s="39"/>
      <c r="FJ84" s="19"/>
      <c r="FK84" s="19"/>
      <c r="FL84" s="19"/>
      <c r="FM84" s="19"/>
      <c r="FN84" s="19"/>
      <c r="FO84" s="52"/>
      <c r="FP84" s="52"/>
      <c r="FQ84" s="22"/>
      <c r="FR84" s="52"/>
      <c r="FS84" s="22"/>
      <c r="FT84" s="22"/>
      <c r="FU84" s="40"/>
      <c r="FV84" s="19"/>
      <c r="FW84" s="19"/>
      <c r="FX84" s="19"/>
      <c r="FY84" s="19"/>
      <c r="FZ84" s="19"/>
      <c r="GA84" s="19"/>
      <c r="GB84" s="19"/>
      <c r="GC84" s="20"/>
      <c r="GD84" s="20"/>
      <c r="GE84" s="19"/>
      <c r="GF84" s="21"/>
      <c r="GG84" s="19"/>
      <c r="GH84" s="19"/>
      <c r="GI84" s="19"/>
      <c r="GJ84" s="21"/>
      <c r="GK84" s="19"/>
      <c r="GL84" s="19"/>
      <c r="GM84" s="19"/>
      <c r="GN84" s="19"/>
      <c r="GO84" s="22"/>
      <c r="GP84" s="22"/>
      <c r="GQ84" s="22"/>
      <c r="GR84" s="22"/>
      <c r="GS84" s="22"/>
      <c r="GT84" s="22"/>
      <c r="GU84" s="43"/>
      <c r="GV84" s="19"/>
      <c r="GW84" s="19"/>
      <c r="GX84" s="19"/>
      <c r="GY84" s="19"/>
      <c r="GZ84" s="23"/>
      <c r="HA84" s="22"/>
      <c r="HB84" s="22"/>
      <c r="HC84" s="22"/>
      <c r="HD84" s="52"/>
      <c r="HE84" s="22"/>
      <c r="HF84" s="22"/>
      <c r="HG84" s="233"/>
    </row>
    <row r="85" spans="2:215" ht="16.149999999999999" customHeight="1" thickBot="1">
      <c r="B85" s="15"/>
      <c r="C85" s="161" t="s">
        <v>637</v>
      </c>
      <c r="D85" s="173"/>
      <c r="E85" s="173"/>
      <c r="F85" s="74"/>
      <c r="G85" s="74"/>
      <c r="H85" s="74"/>
      <c r="I85" s="173"/>
      <c r="J85" s="173"/>
      <c r="K85" s="173"/>
      <c r="L85" s="173"/>
      <c r="M85" s="173"/>
      <c r="N85" s="173"/>
      <c r="O85" s="76"/>
      <c r="P85" s="76"/>
      <c r="Q85" s="76"/>
      <c r="R85" s="173"/>
      <c r="S85" s="173"/>
      <c r="T85" s="173"/>
      <c r="U85" s="173"/>
      <c r="V85" s="52"/>
      <c r="W85" s="52"/>
      <c r="X85" s="52"/>
      <c r="Y85" s="52"/>
      <c r="Z85" s="22"/>
      <c r="AA85" s="52"/>
      <c r="AB85" s="22"/>
      <c r="AC85" s="22"/>
      <c r="AD85" s="22"/>
      <c r="AE85" s="22"/>
      <c r="AF85" s="22"/>
      <c r="AG85" s="22"/>
      <c r="AH85" s="22"/>
      <c r="AI85" s="22"/>
      <c r="AJ85" s="5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77"/>
      <c r="AW85" s="77"/>
      <c r="AX85" s="78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40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19"/>
      <c r="CX85" s="19"/>
      <c r="CY85" s="19"/>
      <c r="CZ85" s="19"/>
      <c r="DA85" s="21"/>
      <c r="DB85" s="21"/>
      <c r="DC85" s="79"/>
      <c r="DD85" s="79"/>
      <c r="DE85" s="79"/>
      <c r="DF85" s="79"/>
      <c r="DG85" s="79"/>
      <c r="DH85" s="51"/>
      <c r="DI85" s="39"/>
      <c r="DJ85" s="80"/>
      <c r="DK85" s="39"/>
      <c r="DL85" s="39"/>
      <c r="DM85" s="48"/>
      <c r="DN85" s="39"/>
      <c r="DO85" s="39"/>
      <c r="DP85" s="39"/>
      <c r="DQ85" s="39"/>
      <c r="DR85" s="39"/>
      <c r="DS85" s="39"/>
      <c r="DT85" s="39"/>
      <c r="DU85" s="19"/>
      <c r="DV85" s="40"/>
      <c r="DW85" s="40"/>
      <c r="DX85" s="21"/>
      <c r="DY85" s="21"/>
      <c r="DZ85" s="19"/>
      <c r="EA85" s="19"/>
      <c r="EB85" s="19"/>
      <c r="EC85" s="48"/>
      <c r="ED85" s="48"/>
      <c r="EE85" s="22"/>
      <c r="EF85" s="22"/>
      <c r="EG85" s="22"/>
      <c r="EH85" s="22"/>
      <c r="EI85" s="22"/>
      <c r="EJ85" s="22"/>
      <c r="EK85" s="83"/>
      <c r="EL85" s="19"/>
      <c r="EM85" s="19"/>
      <c r="EN85" s="146"/>
      <c r="EO85" s="146"/>
      <c r="EP85" s="146"/>
      <c r="EQ85" s="21"/>
      <c r="ER85" s="21"/>
      <c r="ES85" s="19"/>
      <c r="ET85" s="19"/>
      <c r="EU85" s="19"/>
      <c r="EV85" s="21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19"/>
      <c r="FK85" s="19"/>
      <c r="FL85" s="19"/>
      <c r="FM85" s="19"/>
      <c r="FN85" s="19"/>
      <c r="FO85" s="22">
        <v>305.55</v>
      </c>
      <c r="FP85" s="22">
        <v>312.07</v>
      </c>
      <c r="FQ85" s="22"/>
      <c r="FR85" s="22">
        <v>305.55</v>
      </c>
      <c r="FS85" s="22">
        <v>312.07</v>
      </c>
      <c r="FT85" s="22"/>
      <c r="FU85" s="83" t="s">
        <v>626</v>
      </c>
      <c r="FV85" s="19"/>
      <c r="FW85" s="19"/>
      <c r="FX85" s="19"/>
      <c r="FY85" s="19"/>
      <c r="FZ85" s="19"/>
      <c r="GA85" s="19"/>
      <c r="GB85" s="19"/>
      <c r="GC85" s="20"/>
      <c r="GD85" s="20"/>
      <c r="GE85" s="21"/>
      <c r="GF85" s="21"/>
      <c r="GG85" s="19"/>
      <c r="GH85" s="19"/>
      <c r="GI85" s="19"/>
      <c r="GJ85" s="21"/>
      <c r="GK85" s="19"/>
      <c r="GL85" s="19"/>
      <c r="GM85" s="19"/>
      <c r="GN85" s="19"/>
      <c r="GO85" s="57">
        <v>312.07</v>
      </c>
      <c r="GP85" s="57">
        <v>345.14</v>
      </c>
      <c r="GQ85" s="57"/>
      <c r="GR85" s="57">
        <v>312.07</v>
      </c>
      <c r="GS85" s="57">
        <v>345.14</v>
      </c>
      <c r="GT85" s="57"/>
      <c r="GU85" s="83" t="s">
        <v>626</v>
      </c>
      <c r="GV85" s="19"/>
      <c r="GW85" s="19"/>
      <c r="GX85" s="19"/>
      <c r="GY85" s="19"/>
      <c r="GZ85" s="23"/>
      <c r="HA85" s="22">
        <v>345.14</v>
      </c>
      <c r="HB85" s="22">
        <v>361.22</v>
      </c>
      <c r="HC85" s="22"/>
      <c r="HD85" s="22">
        <v>345.14</v>
      </c>
      <c r="HE85" s="22">
        <v>361.22</v>
      </c>
      <c r="HF85" s="22"/>
      <c r="HG85" s="235" t="s">
        <v>626</v>
      </c>
    </row>
    <row r="86" spans="2:215" ht="16.5" thickBot="1">
      <c r="B86" s="7" t="s">
        <v>233</v>
      </c>
      <c r="C86" s="80" t="s">
        <v>234</v>
      </c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>
        <f t="shared" ref="X86" si="514">+IF(V86=0,,W86/V86*100)</f>
        <v>0</v>
      </c>
      <c r="Y86" s="80"/>
      <c r="Z86" s="80">
        <f t="shared" ref="Z86" si="515">+IF(W86=0,,Y86/W86*100)</f>
        <v>0</v>
      </c>
      <c r="AA86" s="80"/>
      <c r="AB86" s="80">
        <f t="shared" ref="AB86" si="516">+IF(Y86=0,,AA86/Y86*100)</f>
        <v>0</v>
      </c>
      <c r="AC86" s="80"/>
      <c r="AD86" s="80"/>
      <c r="AE86" s="80">
        <f t="shared" si="512"/>
        <v>0</v>
      </c>
      <c r="AF86" s="80"/>
      <c r="AG86" s="80">
        <f>+IF(AC86=0,,AF86/AC86*100)</f>
        <v>0</v>
      </c>
      <c r="AH86" s="80"/>
      <c r="AI86" s="80"/>
      <c r="AJ86" s="80">
        <f t="shared" ref="AJ86" si="517">+IF(AH86=0,,AI86/AH86*100)</f>
        <v>0</v>
      </c>
      <c r="AK86" s="80"/>
      <c r="AL86" s="80">
        <f t="shared" ref="AL86" si="518">+IF(AI86=0,,AK86/AI86*100)</f>
        <v>0</v>
      </c>
      <c r="AM86" s="80"/>
      <c r="AN86" s="80">
        <f t="shared" ref="AN86" si="519">+IF(AK86=0,,AM86/AK86*100)</f>
        <v>0</v>
      </c>
      <c r="AO86" s="80">
        <f t="shared" ref="AO86" si="520">+IF(V86=0,,AA86/V86*100)</f>
        <v>0</v>
      </c>
      <c r="AP86" s="80">
        <f t="shared" ref="AP86" si="521">+IF(AH86=0,,AM86/AH86*100)</f>
        <v>0</v>
      </c>
      <c r="AQ86" s="80"/>
      <c r="AR86" s="80"/>
      <c r="AS86" s="80">
        <f t="shared" si="513"/>
        <v>0</v>
      </c>
      <c r="AT86" s="80"/>
      <c r="AU86" s="80">
        <f>+IF(AQ86=0,,AT86/AQ86*100)</f>
        <v>0</v>
      </c>
      <c r="AV86" s="77"/>
      <c r="AW86" s="77" t="e">
        <f>+CY86/$CY$86*100</f>
        <v>#DIV/0!</v>
      </c>
      <c r="AX86" s="78"/>
      <c r="AY86" s="80">
        <f t="shared" si="415"/>
        <v>0</v>
      </c>
      <c r="AZ86" s="80"/>
      <c r="BA86" s="80"/>
      <c r="BB86" s="80"/>
      <c r="BC86" s="80"/>
      <c r="BD86" s="80"/>
      <c r="BE86" s="22">
        <f t="shared" si="416"/>
        <v>0</v>
      </c>
      <c r="BF86" s="80"/>
      <c r="BG86" s="80"/>
      <c r="BH86" s="22">
        <f t="shared" si="417"/>
        <v>0</v>
      </c>
      <c r="BI86" s="22"/>
      <c r="BJ86" s="40"/>
      <c r="BK86" s="80">
        <f t="shared" si="353"/>
        <v>0</v>
      </c>
      <c r="BL86" s="80">
        <f t="shared" ref="BL86" si="522">+E86*AI86/1.18/1000</f>
        <v>0</v>
      </c>
      <c r="BM86" s="80">
        <f t="shared" ref="BM86" si="523">+(W86-ROUND(AI86/1.18,2))*E86/1000</f>
        <v>0</v>
      </c>
      <c r="BN86" s="80">
        <f t="shared" ref="BN86" si="524">+W86*I86/1000</f>
        <v>0</v>
      </c>
      <c r="BO86" s="80">
        <f t="shared" si="354"/>
        <v>0</v>
      </c>
      <c r="BP86" s="80">
        <f t="shared" ref="BP86" si="525">+AK86/1.18*E86/1000</f>
        <v>0</v>
      </c>
      <c r="BQ86" s="80">
        <f t="shared" ref="BQ86" si="526">+(Y86-ROUND(AK86/1.18,2))*E86/1000</f>
        <v>0</v>
      </c>
      <c r="BR86" s="80">
        <f t="shared" ref="BR86" si="527">+Y86*I86/1000</f>
        <v>0</v>
      </c>
      <c r="BS86" s="80">
        <f t="shared" si="355"/>
        <v>0</v>
      </c>
      <c r="BT86" s="80">
        <f t="shared" ref="BT86" si="528">+AM86/1.18*E86/1000</f>
        <v>0</v>
      </c>
      <c r="BU86" s="80">
        <f t="shared" ref="BU86" si="529">+(AA86-ROUND(AM86/1.18,2))*E86/1000</f>
        <v>0</v>
      </c>
      <c r="BV86" s="80">
        <f t="shared" ref="BV86" si="530">+AA86*I86/1000</f>
        <v>0</v>
      </c>
      <c r="BW86" s="80"/>
      <c r="BX86" s="48">
        <f>+SUM(BX87:BX98)</f>
        <v>0</v>
      </c>
      <c r="BY86" s="48">
        <f>+SUM(BY87:BY98)</f>
        <v>0</v>
      </c>
      <c r="BZ86" s="80">
        <f>+AC86*R86/1000</f>
        <v>0</v>
      </c>
      <c r="CA86" s="80"/>
      <c r="CB86" s="48">
        <f>+SUM(CB87:CB98)</f>
        <v>0</v>
      </c>
      <c r="CC86" s="48">
        <f>+SUM(CC87:CC98)</f>
        <v>0</v>
      </c>
      <c r="CD86" s="80">
        <f t="shared" ref="CD86" si="531">+AF86*R86/1000</f>
        <v>0</v>
      </c>
      <c r="CE86" s="80">
        <f t="shared" ref="CE86" si="532">+IF(R86=0,,BN86/R86*1000)</f>
        <v>0</v>
      </c>
      <c r="CF86" s="80">
        <f t="shared" ref="CF86" si="533">+IF(I86=0,,BR86/I86*1000)</f>
        <v>0</v>
      </c>
      <c r="CG86" s="80">
        <f t="shared" ref="CG86" si="534">+IF(I86=0,,BV86/I86*1000)</f>
        <v>0</v>
      </c>
      <c r="CH86" s="80">
        <f t="shared" ref="CH86" si="535">+IF(E86=0,,BL86/E86*1000*1.18)</f>
        <v>0</v>
      </c>
      <c r="CI86" s="80">
        <f t="shared" ref="CI86" si="536">+IF(E86=0,,BP86/E86*1.18*1000)</f>
        <v>0</v>
      </c>
      <c r="CJ86" s="80">
        <f t="shared" ref="CJ86" si="537">+IF(E86=0,,BT86/E86*1.18*1000)</f>
        <v>0</v>
      </c>
      <c r="CK86" s="80">
        <f t="shared" ref="CK86" si="538">+IF(D86=0,,BK86/D86*1000)</f>
        <v>0</v>
      </c>
      <c r="CL86" s="80">
        <f t="shared" ref="CL86" si="539">+IF(D86=0,,BO86/D86*1000)</f>
        <v>0</v>
      </c>
      <c r="CM86" s="80">
        <f t="shared" ref="CM86" si="540">+IF(D86=0,,BS86/D86*1000)</f>
        <v>0</v>
      </c>
      <c r="CN86" s="80">
        <f t="shared" ref="CN86" si="541">+IF((D86+D86+D86)=0,,(BK86+BO86+BS86)/(D86+D86+D86))*1000</f>
        <v>0</v>
      </c>
      <c r="CO86" s="80">
        <f t="shared" ref="CO86" si="542">+IF(R86=0,,BZ86/R86*1000)</f>
        <v>0</v>
      </c>
      <c r="CP86" s="80">
        <f t="shared" ref="CP86" si="543">+IF(R86=0,,CD86/R86*1000)</f>
        <v>0</v>
      </c>
      <c r="CQ86" s="80">
        <f t="shared" ref="CQ86" si="544">+IF(N86=0,,BX86/N86*1.18*1000)</f>
        <v>0</v>
      </c>
      <c r="CR86" s="80">
        <f t="shared" ref="CR86" si="545">+IF(N86=0,,CB86/N86*1.18*1000)</f>
        <v>0</v>
      </c>
      <c r="CS86" s="80">
        <f t="shared" ref="CS86" si="546">+IF(M86=0,,BW86/M86*1000)</f>
        <v>0</v>
      </c>
      <c r="CT86" s="80">
        <f t="shared" ref="CT86" si="547">+IF(M86=0,,CA86/M86*1000)</f>
        <v>0</v>
      </c>
      <c r="CU86" s="80">
        <f t="shared" ref="CU86" si="548">+IF((M86+M86)=0,,(CA86+BW86)/(M86+M86))*1000</f>
        <v>0</v>
      </c>
      <c r="CV86" s="80">
        <f t="shared" si="329"/>
        <v>0</v>
      </c>
      <c r="CW86" s="48">
        <f>+SUM(CW87:CW98)</f>
        <v>0</v>
      </c>
      <c r="CX86" s="48">
        <f>+SUM(CX87:CX98)</f>
        <v>0</v>
      </c>
      <c r="CY86" s="48">
        <f>+SUM(CY87:CY98)</f>
        <v>0</v>
      </c>
      <c r="CZ86" s="48">
        <f>+SUM(CZ87:CZ98)</f>
        <v>0</v>
      </c>
      <c r="DA86" s="20">
        <f t="shared" si="334"/>
        <v>0</v>
      </c>
      <c r="DB86" s="20">
        <f t="shared" si="335"/>
        <v>0</v>
      </c>
      <c r="DC86" s="20">
        <f t="shared" si="336"/>
        <v>0</v>
      </c>
      <c r="DD86" s="20">
        <f t="shared" si="336"/>
        <v>0</v>
      </c>
      <c r="DE86" s="79">
        <f t="shared" ref="DE86:DF86" si="549">+(O86+S86)*AC86/1000</f>
        <v>0</v>
      </c>
      <c r="DF86" s="79">
        <f t="shared" si="549"/>
        <v>0</v>
      </c>
      <c r="DG86" s="48">
        <f>+SUM(DG87:DG98)</f>
        <v>0</v>
      </c>
      <c r="DH86" s="51">
        <f t="shared" si="339"/>
        <v>0</v>
      </c>
      <c r="DI86" s="39"/>
      <c r="DJ86" s="80">
        <f t="shared" ref="DJ86" si="550">+(F86+J86)*W86/1000</f>
        <v>0</v>
      </c>
      <c r="DK86" s="39">
        <f t="shared" ref="DK86" si="551">+Y86*(G86+K86)/1000</f>
        <v>0</v>
      </c>
      <c r="DL86" s="39">
        <f t="shared" ref="DL86" si="552">+(H86+L86)*AA86/1000</f>
        <v>0</v>
      </c>
      <c r="DM86" s="48">
        <f>+AT86-'[2]тарифы (12-13) население 15%'!AP131</f>
        <v>0</v>
      </c>
      <c r="DN86" s="39"/>
      <c r="DO86" s="39"/>
      <c r="DP86" s="39"/>
      <c r="DQ86" s="39"/>
      <c r="DR86" s="39"/>
      <c r="DS86" s="39"/>
      <c r="DT86" s="39"/>
      <c r="DU86" s="19">
        <f t="shared" si="444"/>
        <v>0</v>
      </c>
      <c r="DV86" s="42">
        <f>+SUM(DV87:DV98)</f>
        <v>48785.40210404776</v>
      </c>
      <c r="DW86" s="42">
        <f>+SUM(DW87:DW98)</f>
        <v>92773.292393759621</v>
      </c>
      <c r="DX86" s="42">
        <f>+'[1]тарифы (НВВ) население на 4,2%'!CO135</f>
        <v>69.513237517087205</v>
      </c>
      <c r="DY86" s="42">
        <f>+IF(DW86=0,,DV86/DW86*100)</f>
        <v>52.585610411439163</v>
      </c>
      <c r="DZ86" s="19">
        <f t="shared" si="420"/>
        <v>0</v>
      </c>
      <c r="EA86" s="19">
        <f t="shared" si="421"/>
        <v>0</v>
      </c>
      <c r="EB86" s="19"/>
      <c r="EC86" s="22">
        <f>+SUM(EC87:EC98)</f>
        <v>40078.286334262717</v>
      </c>
      <c r="ED86" s="22">
        <f>+SUM(ED87:ED98)</f>
        <v>41557.5528252</v>
      </c>
      <c r="EE86" s="80"/>
      <c r="EF86" s="80"/>
      <c r="EG86" s="22">
        <f t="shared" si="404"/>
        <v>0</v>
      </c>
      <c r="EH86" s="80"/>
      <c r="EI86" s="80"/>
      <c r="EJ86" s="22">
        <f t="shared" si="405"/>
        <v>0</v>
      </c>
      <c r="EK86" s="40"/>
      <c r="EL86" s="40"/>
      <c r="EM86" s="40"/>
      <c r="EN86" s="146">
        <f>+SUM(EN87:EN98)</f>
        <v>52142.034888983064</v>
      </c>
      <c r="EO86" s="146">
        <f>+SUM(EO87:EO98)</f>
        <v>98273.380478600011</v>
      </c>
      <c r="EP86" s="146" t="e">
        <f>+$EN$442/$EN$445*EN86</f>
        <v>#REF!</v>
      </c>
      <c r="EQ86" s="42">
        <f t="shared" si="426"/>
        <v>53.058147216516581</v>
      </c>
      <c r="ER86" s="42" t="e">
        <f>+IF((EN86+EP86)=0,,(EN86+EP86)/(EO86+EP86))*100</f>
        <v>#REF!</v>
      </c>
      <c r="ES86" s="42"/>
      <c r="ET86" s="42"/>
      <c r="EU86" s="19">
        <f t="shared" si="406"/>
        <v>0</v>
      </c>
      <c r="EV86" s="42"/>
      <c r="EW86" s="39"/>
      <c r="EX86" s="39">
        <f t="shared" si="407"/>
        <v>0</v>
      </c>
      <c r="EY86" s="39">
        <f t="shared" si="408"/>
        <v>0</v>
      </c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41">
        <f>+SUM(FJ87:FJ98)</f>
        <v>44086.339380345766</v>
      </c>
      <c r="FK86" s="41">
        <f>+SUM(FK87:FK98)</f>
        <v>46131.345589616947</v>
      </c>
      <c r="FL86" s="41">
        <f t="shared" si="429"/>
        <v>90217.68496996272</v>
      </c>
      <c r="FM86" s="40"/>
      <c r="FN86" s="40"/>
      <c r="FO86" s="80">
        <f t="shared" si="409"/>
        <v>0</v>
      </c>
      <c r="FP86" s="80"/>
      <c r="FQ86" s="22"/>
      <c r="FR86" s="80">
        <f t="shared" si="431"/>
        <v>0</v>
      </c>
      <c r="FS86" s="80"/>
      <c r="FT86" s="22"/>
      <c r="FU86" s="40"/>
      <c r="FV86" s="41">
        <f t="shared" ref="FV86:GB86" si="553">+SUM(FV87:FV98)</f>
        <v>0</v>
      </c>
      <c r="FW86" s="41">
        <f t="shared" si="553"/>
        <v>0</v>
      </c>
      <c r="FX86" s="41">
        <f t="shared" si="553"/>
        <v>0</v>
      </c>
      <c r="FY86" s="41">
        <f t="shared" si="553"/>
        <v>0</v>
      </c>
      <c r="FZ86" s="41">
        <f t="shared" si="553"/>
        <v>0</v>
      </c>
      <c r="GA86" s="41">
        <f t="shared" si="553"/>
        <v>0</v>
      </c>
      <c r="GB86" s="41">
        <f t="shared" si="553"/>
        <v>0</v>
      </c>
      <c r="GC86" s="20">
        <f t="shared" si="411"/>
        <v>0</v>
      </c>
      <c r="GD86" s="20">
        <f t="shared" si="412"/>
        <v>0</v>
      </c>
      <c r="GE86" s="42"/>
      <c r="GF86" s="42"/>
      <c r="GG86" s="42"/>
      <c r="GH86" s="42"/>
      <c r="GI86" s="42"/>
      <c r="GJ86" s="42"/>
      <c r="GK86" s="42"/>
      <c r="GL86" s="42"/>
      <c r="GM86" s="40"/>
      <c r="GN86" s="40"/>
      <c r="GO86" s="80"/>
      <c r="GP86" s="80"/>
      <c r="GQ86" s="22"/>
      <c r="GR86" s="80"/>
      <c r="GS86" s="80"/>
      <c r="GT86" s="22"/>
      <c r="GU86" s="43"/>
      <c r="GV86" s="41"/>
      <c r="GW86" s="41"/>
      <c r="GX86" s="41">
        <f>+SUM(GX87:GX98)</f>
        <v>0</v>
      </c>
      <c r="GY86" s="41">
        <f>+SUM(GY87:GY98)</f>
        <v>0</v>
      </c>
      <c r="GZ86" s="44">
        <f t="shared" ref="GZ86" si="554">+IF(GY86=0,,GX86/GY86*100)</f>
        <v>0</v>
      </c>
      <c r="HA86" s="80"/>
      <c r="HB86" s="80"/>
      <c r="HC86" s="22"/>
      <c r="HD86" s="80"/>
      <c r="HE86" s="80"/>
      <c r="HF86" s="22"/>
      <c r="HG86" s="233"/>
    </row>
    <row r="87" spans="2:215" ht="15.75">
      <c r="B87" s="10" t="s">
        <v>235</v>
      </c>
      <c r="C87" s="81" t="s">
        <v>152</v>
      </c>
      <c r="D87" s="143"/>
      <c r="E87" s="143"/>
      <c r="F87" s="74"/>
      <c r="G87" s="74"/>
      <c r="H87" s="74"/>
      <c r="I87" s="143"/>
      <c r="J87" s="75"/>
      <c r="K87" s="75"/>
      <c r="L87" s="75"/>
      <c r="M87" s="191"/>
      <c r="N87" s="191"/>
      <c r="O87" s="74"/>
      <c r="P87" s="74"/>
      <c r="Q87" s="74"/>
      <c r="R87" s="191"/>
      <c r="S87" s="74"/>
      <c r="T87" s="74"/>
      <c r="U87" s="74"/>
      <c r="V87" s="52"/>
      <c r="W87" s="52"/>
      <c r="X87" s="52"/>
      <c r="Y87" s="52"/>
      <c r="Z87" s="22"/>
      <c r="AA87" s="52"/>
      <c r="AB87" s="22"/>
      <c r="AC87" s="52"/>
      <c r="AD87" s="22"/>
      <c r="AE87" s="22"/>
      <c r="AF87" s="22"/>
      <c r="AG87" s="22">
        <f t="shared" ref="AG87:AG94" si="555">+IF(AD87=0,,AF87/AD87*100)</f>
        <v>0</v>
      </c>
      <c r="AH87" s="22"/>
      <c r="AI87" s="22"/>
      <c r="AJ87" s="5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>
        <f t="shared" ref="AU87:AU94" si="556">+IF(AR87=0,,AT87/AR87*100)</f>
        <v>0</v>
      </c>
      <c r="AV87" s="77"/>
      <c r="AW87" s="77"/>
      <c r="AX87" s="78"/>
      <c r="AY87" s="22">
        <f t="shared" si="415"/>
        <v>0</v>
      </c>
      <c r="AZ87" s="22"/>
      <c r="BA87" s="22"/>
      <c r="BB87" s="22"/>
      <c r="BC87" s="22"/>
      <c r="BD87" s="22"/>
      <c r="BE87" s="22">
        <f t="shared" si="416"/>
        <v>0</v>
      </c>
      <c r="BF87" s="22"/>
      <c r="BG87" s="22"/>
      <c r="BH87" s="22">
        <f t="shared" si="417"/>
        <v>0</v>
      </c>
      <c r="BI87" s="22"/>
      <c r="BJ87" s="40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19"/>
      <c r="CX87" s="19"/>
      <c r="CY87" s="19"/>
      <c r="CZ87" s="19"/>
      <c r="DA87" s="21"/>
      <c r="DB87" s="21"/>
      <c r="DC87" s="79"/>
      <c r="DD87" s="79"/>
      <c r="DE87" s="79"/>
      <c r="DF87" s="79"/>
      <c r="DG87" s="79"/>
      <c r="DH87" s="51"/>
      <c r="DI87" s="39"/>
      <c r="DJ87" s="80"/>
      <c r="DK87" s="39"/>
      <c r="DL87" s="39"/>
      <c r="DM87" s="48"/>
      <c r="DN87" s="39"/>
      <c r="DO87" s="39"/>
      <c r="DP87" s="39"/>
      <c r="DQ87" s="39"/>
      <c r="DR87" s="39"/>
      <c r="DS87" s="39"/>
      <c r="DT87" s="39"/>
      <c r="DU87" s="19">
        <f t="shared" si="444"/>
        <v>0</v>
      </c>
      <c r="DV87" s="40">
        <f t="shared" si="418"/>
        <v>0</v>
      </c>
      <c r="DW87" s="40">
        <f t="shared" si="419"/>
        <v>0</v>
      </c>
      <c r="DX87" s="46"/>
      <c r="DY87" s="21">
        <f t="shared" si="403"/>
        <v>0</v>
      </c>
      <c r="DZ87" s="19">
        <f t="shared" si="420"/>
        <v>0</v>
      </c>
      <c r="EA87" s="19">
        <f t="shared" si="421"/>
        <v>0</v>
      </c>
      <c r="EB87" s="19"/>
      <c r="EC87" s="48">
        <f t="shared" ref="EC87:EC94" si="557">+(BC87-BF87/1.18)*AZ87/2</f>
        <v>0</v>
      </c>
      <c r="ED87" s="48">
        <f t="shared" ref="ED87:ED94" si="558">+(BD87-BG87/1.18)*AZ87/2</f>
        <v>0</v>
      </c>
      <c r="EE87" s="22"/>
      <c r="EF87" s="22"/>
      <c r="EG87" s="22">
        <f t="shared" si="404"/>
        <v>0</v>
      </c>
      <c r="EH87" s="22"/>
      <c r="EI87" s="22"/>
      <c r="EJ87" s="22">
        <f t="shared" si="405"/>
        <v>0</v>
      </c>
      <c r="EK87" s="40"/>
      <c r="EL87" s="19"/>
      <c r="EM87" s="19"/>
      <c r="EN87" s="40">
        <f t="shared" si="424"/>
        <v>0</v>
      </c>
      <c r="EO87" s="40">
        <f t="shared" si="425"/>
        <v>0</v>
      </c>
      <c r="EP87" s="40"/>
      <c r="EQ87" s="21">
        <f t="shared" si="426"/>
        <v>0</v>
      </c>
      <c r="ER87" s="21"/>
      <c r="ES87" s="21"/>
      <c r="ET87" s="21"/>
      <c r="EU87" s="19">
        <f t="shared" si="406"/>
        <v>0</v>
      </c>
      <c r="EV87" s="21"/>
      <c r="EW87" s="39"/>
      <c r="EX87" s="39">
        <f t="shared" si="407"/>
        <v>0</v>
      </c>
      <c r="EY87" s="39">
        <f t="shared" ref="EY87:EY121" si="559">+EF87*AY87</f>
        <v>0</v>
      </c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19">
        <f t="shared" si="427"/>
        <v>0</v>
      </c>
      <c r="FK87" s="19">
        <f t="shared" si="428"/>
        <v>0</v>
      </c>
      <c r="FL87" s="19">
        <f t="shared" si="429"/>
        <v>0</v>
      </c>
      <c r="FM87" s="19"/>
      <c r="FN87" s="19"/>
      <c r="FO87" s="22">
        <f t="shared" si="409"/>
        <v>0</v>
      </c>
      <c r="FP87" s="22"/>
      <c r="FQ87" s="22"/>
      <c r="FR87" s="22">
        <f t="shared" si="431"/>
        <v>0</v>
      </c>
      <c r="FS87" s="22"/>
      <c r="FT87" s="22"/>
      <c r="FU87" s="40"/>
      <c r="FV87" s="19">
        <f t="shared" ref="FV87" si="560">+(FO87-FR87/1.18)*FN87</f>
        <v>0</v>
      </c>
      <c r="FW87" s="19">
        <f t="shared" ref="FW87" si="561">+(FP87-FS87/1.18)*FN87</f>
        <v>0</v>
      </c>
      <c r="FX87" s="19">
        <f t="shared" si="432"/>
        <v>0</v>
      </c>
      <c r="FY87" s="19">
        <f t="shared" si="433"/>
        <v>0</v>
      </c>
      <c r="FZ87" s="19">
        <f t="shared" si="434"/>
        <v>0</v>
      </c>
      <c r="GA87" s="19">
        <f t="shared" si="435"/>
        <v>0</v>
      </c>
      <c r="GB87" s="19">
        <f t="shared" si="436"/>
        <v>0</v>
      </c>
      <c r="GC87" s="20">
        <f t="shared" si="411"/>
        <v>0</v>
      </c>
      <c r="GD87" s="20">
        <f t="shared" ref="GD87:GD126" si="562">+IF(GB87=0,,GA87/GB87*100)</f>
        <v>0</v>
      </c>
      <c r="GE87" s="21"/>
      <c r="GF87" s="21">
        <f t="shared" ref="GF87" si="563">+FR87*FN87</f>
        <v>0</v>
      </c>
      <c r="GG87" s="21"/>
      <c r="GH87" s="21"/>
      <c r="GI87" s="21">
        <f t="shared" ref="GI87" si="564">+FP87*FM87</f>
        <v>0</v>
      </c>
      <c r="GJ87" s="21">
        <f t="shared" ref="GJ87" si="565">+FS87*FN87</f>
        <v>0</v>
      </c>
      <c r="GK87" s="21"/>
      <c r="GL87" s="21"/>
      <c r="GM87" s="19"/>
      <c r="GN87" s="19"/>
      <c r="GO87" s="22"/>
      <c r="GP87" s="22"/>
      <c r="GQ87" s="22"/>
      <c r="GR87" s="22"/>
      <c r="GS87" s="22"/>
      <c r="GT87" s="22"/>
      <c r="GU87" s="43"/>
      <c r="GV87" s="19"/>
      <c r="GW87" s="19"/>
      <c r="GX87" s="19"/>
      <c r="GY87" s="19"/>
      <c r="GZ87" s="19"/>
      <c r="HA87" s="22"/>
      <c r="HB87" s="22"/>
      <c r="HC87" s="22"/>
      <c r="HD87" s="22"/>
      <c r="HE87" s="22"/>
      <c r="HF87" s="22"/>
      <c r="HG87" s="233"/>
    </row>
    <row r="88" spans="2:215" ht="15.75">
      <c r="B88" s="10"/>
      <c r="C88" s="161" t="s">
        <v>236</v>
      </c>
      <c r="D88" s="143"/>
      <c r="E88" s="143"/>
      <c r="F88" s="74"/>
      <c r="G88" s="74"/>
      <c r="H88" s="74"/>
      <c r="I88" s="143"/>
      <c r="J88" s="75"/>
      <c r="K88" s="75"/>
      <c r="L88" s="75"/>
      <c r="M88" s="191"/>
      <c r="N88" s="191"/>
      <c r="O88" s="74"/>
      <c r="P88" s="74"/>
      <c r="Q88" s="74"/>
      <c r="R88" s="191"/>
      <c r="S88" s="74"/>
      <c r="T88" s="74"/>
      <c r="U88" s="74"/>
      <c r="V88" s="52"/>
      <c r="W88" s="52"/>
      <c r="X88" s="52"/>
      <c r="Y88" s="52"/>
      <c r="Z88" s="22"/>
      <c r="AA88" s="52"/>
      <c r="AB88" s="22"/>
      <c r="AC88" s="52"/>
      <c r="AD88" s="52">
        <v>2523.4</v>
      </c>
      <c r="AE88" s="22">
        <f>+IF(AC88=0,,AF88/AC88*100)</f>
        <v>0</v>
      </c>
      <c r="AF88" s="22">
        <v>2523.4</v>
      </c>
      <c r="AG88" s="22">
        <f t="shared" si="555"/>
        <v>100</v>
      </c>
      <c r="AH88" s="22"/>
      <c r="AI88" s="22"/>
      <c r="AJ88" s="52"/>
      <c r="AK88" s="22"/>
      <c r="AL88" s="22"/>
      <c r="AM88" s="22"/>
      <c r="AN88" s="22"/>
      <c r="AO88" s="22"/>
      <c r="AP88" s="22"/>
      <c r="AQ88" s="22"/>
      <c r="AR88" s="22">
        <v>1633.67</v>
      </c>
      <c r="AS88" s="22">
        <f>+IF(AQ88=0,,AT88/AQ88*100)</f>
        <v>0</v>
      </c>
      <c r="AT88" s="22">
        <v>1824.8</v>
      </c>
      <c r="AU88" s="22">
        <f t="shared" si="556"/>
        <v>111.69942522051576</v>
      </c>
      <c r="AV88" s="77"/>
      <c r="AW88" s="77"/>
      <c r="AX88" s="239" t="s">
        <v>139</v>
      </c>
      <c r="AY88" s="22">
        <f t="shared" si="415"/>
        <v>32.051729999999999</v>
      </c>
      <c r="AZ88" s="22">
        <f>+[7]БПр!$BX$1768/1000</f>
        <v>20.489789999999999</v>
      </c>
      <c r="BA88" s="22">
        <f>+[7]БПр!$BW$1768/1000</f>
        <v>7.9938199999999995</v>
      </c>
      <c r="BB88" s="22">
        <f>+([7]БПр!$BP$1768+[7]БПр!$BY$1768)/1000</f>
        <v>3.5681200000000004</v>
      </c>
      <c r="BC88" s="22">
        <v>2523.4</v>
      </c>
      <c r="BD88" s="22">
        <v>2629.38</v>
      </c>
      <c r="BE88" s="22">
        <f t="shared" si="416"/>
        <v>104.19988903859871</v>
      </c>
      <c r="BF88" s="22">
        <v>1824.8</v>
      </c>
      <c r="BG88" s="22">
        <v>1901.44</v>
      </c>
      <c r="BH88" s="22">
        <f t="shared" si="417"/>
        <v>104.19991231915826</v>
      </c>
      <c r="BI88" s="22">
        <f>+BD88-BG88/1.18</f>
        <v>1017.9901694915254</v>
      </c>
      <c r="BJ88" s="242" t="s">
        <v>140</v>
      </c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19"/>
      <c r="CX88" s="19"/>
      <c r="CY88" s="19"/>
      <c r="CZ88" s="19"/>
      <c r="DA88" s="21"/>
      <c r="DB88" s="21"/>
      <c r="DC88" s="79"/>
      <c r="DD88" s="79"/>
      <c r="DE88" s="79"/>
      <c r="DF88" s="79"/>
      <c r="DG88" s="79"/>
      <c r="DH88" s="51"/>
      <c r="DI88" s="39"/>
      <c r="DJ88" s="80"/>
      <c r="DK88" s="39"/>
      <c r="DL88" s="39"/>
      <c r="DM88" s="48"/>
      <c r="DN88" s="39"/>
      <c r="DO88" s="39"/>
      <c r="DP88" s="39"/>
      <c r="DQ88" s="39"/>
      <c r="DR88" s="39"/>
      <c r="DS88" s="39">
        <f>+BD88*1.18</f>
        <v>3102.6684</v>
      </c>
      <c r="DT88" s="39"/>
      <c r="DU88" s="19">
        <f t="shared" si="444"/>
        <v>31686.244738983049</v>
      </c>
      <c r="DV88" s="40">
        <f t="shared" si="418"/>
        <v>33017.03923525424</v>
      </c>
      <c r="DW88" s="40">
        <f t="shared" si="419"/>
        <v>53875.4440302</v>
      </c>
      <c r="DX88" s="21">
        <f>+'[1]тарифы (НВВ) население на 4,2%'!CO137</f>
        <v>74.23163821690919</v>
      </c>
      <c r="DY88" s="21">
        <f t="shared" si="403"/>
        <v>61.284022488513443</v>
      </c>
      <c r="DZ88" s="19">
        <f t="shared" si="420"/>
        <v>80.879335482000002</v>
      </c>
      <c r="EA88" s="19">
        <f t="shared" si="421"/>
        <v>84.276177827399991</v>
      </c>
      <c r="EB88" s="48">
        <v>1859.47</v>
      </c>
      <c r="EC88" s="48">
        <f>+(BC88-BF88/1.18)*AZ88</f>
        <v>20017.691347016949</v>
      </c>
      <c r="ED88" s="48">
        <f>+(BD88-BG88/1.18)*AZ88</f>
        <v>20858.404794945764</v>
      </c>
      <c r="EE88" s="22">
        <v>2629.38</v>
      </c>
      <c r="EF88" s="22">
        <v>2813.43</v>
      </c>
      <c r="EG88" s="22">
        <f t="shared" si="404"/>
        <v>106.99974899025624</v>
      </c>
      <c r="EH88" s="22">
        <v>1901.44</v>
      </c>
      <c r="EI88" s="22">
        <v>2062.11</v>
      </c>
      <c r="EJ88" s="22">
        <f t="shared" si="405"/>
        <v>108.44991164591048</v>
      </c>
      <c r="EK88" s="241" t="s">
        <v>141</v>
      </c>
      <c r="EL88" s="19">
        <v>31.54354</v>
      </c>
      <c r="EM88" s="19">
        <v>20.202060000000003</v>
      </c>
      <c r="EN88" s="40">
        <f t="shared" si="424"/>
        <v>35304.127073389842</v>
      </c>
      <c r="EO88" s="40">
        <f t="shared" si="425"/>
        <v>56837.081665800004</v>
      </c>
      <c r="EP88" s="40"/>
      <c r="EQ88" s="21">
        <f t="shared" si="426"/>
        <v>62.114602014538391</v>
      </c>
      <c r="ER88" s="21"/>
      <c r="ES88" s="21">
        <f t="shared" ref="ES88:ES96" si="566">+EL88*EE88</f>
        <v>82939.9532052</v>
      </c>
      <c r="ET88" s="21"/>
      <c r="EU88" s="19">
        <f t="shared" si="406"/>
        <v>88745.541742199988</v>
      </c>
      <c r="EV88" s="21"/>
      <c r="EW88" s="39"/>
      <c r="EX88" s="39">
        <f t="shared" si="407"/>
        <v>84276.177827399995</v>
      </c>
      <c r="EY88" s="39">
        <f t="shared" si="559"/>
        <v>90175.298733899996</v>
      </c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19">
        <f t="shared" si="427"/>
        <v>20565.498483477968</v>
      </c>
      <c r="FK88" s="19">
        <f t="shared" si="428"/>
        <v>21532.954592410166</v>
      </c>
      <c r="FL88" s="19">
        <f t="shared" si="429"/>
        <v>42098.45307588813</v>
      </c>
      <c r="FM88" s="19">
        <f>30.889-FM89</f>
        <v>29.959</v>
      </c>
      <c r="FN88" s="19">
        <f>19.94-FN89</f>
        <v>19.558</v>
      </c>
      <c r="FO88" s="22">
        <v>3013.12</v>
      </c>
      <c r="FP88" s="22">
        <v>3083.47</v>
      </c>
      <c r="FQ88" s="22"/>
      <c r="FR88" s="22">
        <v>2532.86</v>
      </c>
      <c r="FS88" s="22">
        <v>2659.5</v>
      </c>
      <c r="FT88" s="22"/>
      <c r="FU88" s="241" t="s">
        <v>624</v>
      </c>
      <c r="FV88" s="19"/>
      <c r="FW88" s="19"/>
      <c r="FX88" s="19"/>
      <c r="FY88" s="19"/>
      <c r="FZ88" s="19"/>
      <c r="GA88" s="19"/>
      <c r="GB88" s="19"/>
      <c r="GC88" s="20"/>
      <c r="GD88" s="20"/>
      <c r="GE88" s="21"/>
      <c r="GF88" s="21"/>
      <c r="GG88" s="21"/>
      <c r="GH88" s="21"/>
      <c r="GI88" s="21"/>
      <c r="GJ88" s="21"/>
      <c r="GK88" s="21"/>
      <c r="GL88" s="21"/>
      <c r="GM88" s="19"/>
      <c r="GN88" s="19"/>
      <c r="GO88" s="22">
        <v>3083.47</v>
      </c>
      <c r="GP88" s="22">
        <v>3217.34</v>
      </c>
      <c r="GQ88" s="22"/>
      <c r="GR88" s="22">
        <v>2659.5</v>
      </c>
      <c r="GS88" s="22">
        <v>2760.56</v>
      </c>
      <c r="GT88" s="22"/>
      <c r="GU88" s="241" t="s">
        <v>624</v>
      </c>
      <c r="GV88" s="19"/>
      <c r="GW88" s="19"/>
      <c r="GX88" s="19"/>
      <c r="GY88" s="19"/>
      <c r="GZ88" s="23"/>
      <c r="HA88" s="22">
        <v>3217.34</v>
      </c>
      <c r="HB88" s="22">
        <v>3305.42</v>
      </c>
      <c r="HC88" s="22"/>
      <c r="HD88" s="22">
        <v>2760.56</v>
      </c>
      <c r="HE88" s="22">
        <v>2870.98</v>
      </c>
      <c r="HF88" s="22"/>
      <c r="HG88" s="241" t="s">
        <v>624</v>
      </c>
    </row>
    <row r="89" spans="2:215" ht="15.75">
      <c r="B89" s="10"/>
      <c r="C89" s="161" t="s">
        <v>237</v>
      </c>
      <c r="D89" s="143"/>
      <c r="E89" s="143"/>
      <c r="F89" s="74"/>
      <c r="G89" s="74"/>
      <c r="H89" s="74"/>
      <c r="I89" s="143"/>
      <c r="J89" s="75"/>
      <c r="K89" s="75"/>
      <c r="L89" s="75"/>
      <c r="M89" s="191"/>
      <c r="N89" s="191"/>
      <c r="O89" s="74"/>
      <c r="P89" s="74"/>
      <c r="Q89" s="74"/>
      <c r="R89" s="191"/>
      <c r="S89" s="74"/>
      <c r="T89" s="74"/>
      <c r="U89" s="74"/>
      <c r="V89" s="52"/>
      <c r="W89" s="52"/>
      <c r="X89" s="52"/>
      <c r="Y89" s="52"/>
      <c r="Z89" s="22"/>
      <c r="AA89" s="52"/>
      <c r="AB89" s="22"/>
      <c r="AC89" s="52"/>
      <c r="AD89" s="52">
        <v>2523.4</v>
      </c>
      <c r="AE89" s="22">
        <f>+IF(AC89=0,,AF89/AC89*100)</f>
        <v>0</v>
      </c>
      <c r="AF89" s="22">
        <v>2523.4</v>
      </c>
      <c r="AG89" s="22">
        <f t="shared" si="555"/>
        <v>100</v>
      </c>
      <c r="AH89" s="22"/>
      <c r="AI89" s="22"/>
      <c r="AJ89" s="52"/>
      <c r="AK89" s="22"/>
      <c r="AL89" s="22"/>
      <c r="AM89" s="22"/>
      <c r="AN89" s="22"/>
      <c r="AO89" s="22"/>
      <c r="AP89" s="22"/>
      <c r="AQ89" s="22"/>
      <c r="AR89" s="22">
        <v>1826.47</v>
      </c>
      <c r="AS89" s="22">
        <f>+IF(AQ89=0,,AT89/AQ89*100)</f>
        <v>0</v>
      </c>
      <c r="AT89" s="22">
        <v>2040.16</v>
      </c>
      <c r="AU89" s="22">
        <f t="shared" si="556"/>
        <v>111.69961729456274</v>
      </c>
      <c r="AV89" s="77"/>
      <c r="AW89" s="77"/>
      <c r="AX89" s="239"/>
      <c r="AY89" s="22">
        <f t="shared" si="415"/>
        <v>0</v>
      </c>
      <c r="AZ89" s="22"/>
      <c r="BA89" s="22"/>
      <c r="BB89" s="22"/>
      <c r="BC89" s="22">
        <v>2523.4</v>
      </c>
      <c r="BD89" s="22">
        <v>2629.38</v>
      </c>
      <c r="BE89" s="22">
        <f t="shared" si="416"/>
        <v>104.19988903859871</v>
      </c>
      <c r="BF89" s="22">
        <v>2040.16</v>
      </c>
      <c r="BG89" s="22">
        <v>2125.84</v>
      </c>
      <c r="BH89" s="22">
        <f t="shared" si="417"/>
        <v>104.19967061406949</v>
      </c>
      <c r="BI89" s="22"/>
      <c r="BJ89" s="242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19"/>
      <c r="CX89" s="19"/>
      <c r="CY89" s="19"/>
      <c r="CZ89" s="19"/>
      <c r="DA89" s="21"/>
      <c r="DB89" s="21"/>
      <c r="DC89" s="79"/>
      <c r="DD89" s="79"/>
      <c r="DE89" s="79"/>
      <c r="DF89" s="79"/>
      <c r="DG89" s="79"/>
      <c r="DH89" s="51"/>
      <c r="DI89" s="39"/>
      <c r="DJ89" s="80"/>
      <c r="DK89" s="39"/>
      <c r="DL89" s="39"/>
      <c r="DM89" s="48"/>
      <c r="DN89" s="39"/>
      <c r="DO89" s="39"/>
      <c r="DP89" s="39"/>
      <c r="DQ89" s="39"/>
      <c r="DR89" s="39"/>
      <c r="DS89" s="39"/>
      <c r="DT89" s="39"/>
      <c r="DU89" s="19">
        <f t="shared" si="444"/>
        <v>0</v>
      </c>
      <c r="DV89" s="40">
        <f t="shared" si="418"/>
        <v>0</v>
      </c>
      <c r="DW89" s="40">
        <f t="shared" si="419"/>
        <v>0</v>
      </c>
      <c r="DX89" s="46"/>
      <c r="DY89" s="21">
        <f t="shared" si="403"/>
        <v>0</v>
      </c>
      <c r="DZ89" s="19">
        <f t="shared" si="420"/>
        <v>0</v>
      </c>
      <c r="EA89" s="19">
        <f t="shared" si="421"/>
        <v>0</v>
      </c>
      <c r="EB89" s="48">
        <v>1859.47</v>
      </c>
      <c r="EC89" s="48">
        <f t="shared" si="557"/>
        <v>0</v>
      </c>
      <c r="ED89" s="48">
        <f t="shared" si="558"/>
        <v>0</v>
      </c>
      <c r="EE89" s="22">
        <v>2629.38</v>
      </c>
      <c r="EF89" s="22">
        <v>2813.43</v>
      </c>
      <c r="EG89" s="22">
        <f t="shared" si="404"/>
        <v>106.99974899025624</v>
      </c>
      <c r="EH89" s="22">
        <v>2125.84</v>
      </c>
      <c r="EI89" s="22">
        <v>2305.4699999999998</v>
      </c>
      <c r="EJ89" s="22">
        <f t="shared" si="405"/>
        <v>108.44983630000375</v>
      </c>
      <c r="EK89" s="241"/>
      <c r="EL89" s="19"/>
      <c r="EM89" s="19"/>
      <c r="EN89" s="40">
        <f t="shared" si="424"/>
        <v>0</v>
      </c>
      <c r="EO89" s="40">
        <f t="shared" si="425"/>
        <v>0</v>
      </c>
      <c r="EP89" s="40"/>
      <c r="EQ89" s="21">
        <f t="shared" si="426"/>
        <v>0</v>
      </c>
      <c r="ER89" s="21"/>
      <c r="ES89" s="21">
        <f t="shared" si="566"/>
        <v>0</v>
      </c>
      <c r="ET89" s="21"/>
      <c r="EU89" s="19">
        <f t="shared" si="406"/>
        <v>0</v>
      </c>
      <c r="EV89" s="21"/>
      <c r="EW89" s="39"/>
      <c r="EX89" s="39">
        <f t="shared" si="407"/>
        <v>0</v>
      </c>
      <c r="EY89" s="39">
        <f t="shared" si="559"/>
        <v>0</v>
      </c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19">
        <f t="shared" si="427"/>
        <v>0</v>
      </c>
      <c r="FK89" s="19">
        <f t="shared" si="428"/>
        <v>0</v>
      </c>
      <c r="FL89" s="19">
        <f t="shared" si="429"/>
        <v>0</v>
      </c>
      <c r="FM89" s="19">
        <v>0.93</v>
      </c>
      <c r="FN89" s="19">
        <v>0.38200000000000001</v>
      </c>
      <c r="FO89" s="22">
        <v>3013.12</v>
      </c>
      <c r="FP89" s="22">
        <v>3083.47</v>
      </c>
      <c r="FQ89" s="22"/>
      <c r="FR89" s="22">
        <v>2831.77</v>
      </c>
      <c r="FS89" s="22">
        <v>2908.23</v>
      </c>
      <c r="FT89" s="22"/>
      <c r="FU89" s="241"/>
      <c r="FV89" s="19"/>
      <c r="FW89" s="19"/>
      <c r="FX89" s="19"/>
      <c r="FY89" s="19"/>
      <c r="FZ89" s="19"/>
      <c r="GA89" s="19"/>
      <c r="GB89" s="19"/>
      <c r="GC89" s="20"/>
      <c r="GD89" s="20"/>
      <c r="GE89" s="21"/>
      <c r="GF89" s="21"/>
      <c r="GG89" s="21"/>
      <c r="GH89" s="21"/>
      <c r="GI89" s="21"/>
      <c r="GJ89" s="21"/>
      <c r="GK89" s="21"/>
      <c r="GL89" s="21"/>
      <c r="GM89" s="19"/>
      <c r="GN89" s="19"/>
      <c r="GO89" s="22">
        <v>3083.47</v>
      </c>
      <c r="GP89" s="22">
        <v>3217.34</v>
      </c>
      <c r="GQ89" s="22"/>
      <c r="GR89" s="22">
        <v>2908.23</v>
      </c>
      <c r="GS89" s="22">
        <v>3018.74</v>
      </c>
      <c r="GT89" s="22"/>
      <c r="GU89" s="241"/>
      <c r="GV89" s="19"/>
      <c r="GW89" s="19"/>
      <c r="GX89" s="19"/>
      <c r="GY89" s="19"/>
      <c r="GZ89" s="23"/>
      <c r="HA89" s="22">
        <v>3217.34</v>
      </c>
      <c r="HB89" s="22">
        <v>3305.42</v>
      </c>
      <c r="HC89" s="22"/>
      <c r="HD89" s="22">
        <v>3018.74</v>
      </c>
      <c r="HE89" s="22">
        <v>3139.49</v>
      </c>
      <c r="HF89" s="22"/>
      <c r="HG89" s="241"/>
    </row>
    <row r="90" spans="2:215" ht="15.75">
      <c r="B90" s="10"/>
      <c r="C90" s="184" t="s">
        <v>150</v>
      </c>
      <c r="D90" s="143"/>
      <c r="E90" s="143"/>
      <c r="F90" s="74"/>
      <c r="G90" s="74"/>
      <c r="H90" s="74"/>
      <c r="I90" s="143"/>
      <c r="J90" s="75"/>
      <c r="K90" s="75"/>
      <c r="L90" s="75"/>
      <c r="M90" s="191"/>
      <c r="N90" s="191"/>
      <c r="O90" s="74"/>
      <c r="P90" s="74"/>
      <c r="Q90" s="74"/>
      <c r="R90" s="191"/>
      <c r="S90" s="74"/>
      <c r="T90" s="74"/>
      <c r="U90" s="74"/>
      <c r="V90" s="52"/>
      <c r="W90" s="52"/>
      <c r="X90" s="52"/>
      <c r="Y90" s="52"/>
      <c r="Z90" s="22"/>
      <c r="AA90" s="52"/>
      <c r="AB90" s="22"/>
      <c r="AC90" s="52"/>
      <c r="AD90" s="52">
        <v>222.78</v>
      </c>
      <c r="AE90" s="22">
        <f>+IF(AC90=0,,AF90/AC90*100)</f>
        <v>0</v>
      </c>
      <c r="AF90" s="22">
        <v>222.78</v>
      </c>
      <c r="AG90" s="22">
        <f t="shared" si="555"/>
        <v>100</v>
      </c>
      <c r="AH90" s="22"/>
      <c r="AI90" s="22"/>
      <c r="AJ90" s="52"/>
      <c r="AK90" s="22"/>
      <c r="AL90" s="22"/>
      <c r="AM90" s="22"/>
      <c r="AN90" s="22"/>
      <c r="AO90" s="22"/>
      <c r="AP90" s="22"/>
      <c r="AQ90" s="22"/>
      <c r="AR90" s="22">
        <v>126.4</v>
      </c>
      <c r="AS90" s="22">
        <f>+IF(AQ90=0,,AT90/AQ90*100)</f>
        <v>0</v>
      </c>
      <c r="AT90" s="22">
        <v>140.82</v>
      </c>
      <c r="AU90" s="22">
        <f t="shared" si="556"/>
        <v>111.40822784810125</v>
      </c>
      <c r="AV90" s="77"/>
      <c r="AW90" s="77"/>
      <c r="AX90" s="78" t="s">
        <v>156</v>
      </c>
      <c r="AY90" s="22">
        <f t="shared" si="415"/>
        <v>0</v>
      </c>
      <c r="AZ90" s="22"/>
      <c r="BA90" s="22"/>
      <c r="BB90" s="22"/>
      <c r="BC90" s="22"/>
      <c r="BD90" s="22"/>
      <c r="BE90" s="22">
        <f t="shared" si="416"/>
        <v>0</v>
      </c>
      <c r="BF90" s="22">
        <v>140.82</v>
      </c>
      <c r="BG90" s="22">
        <v>146.72999999999999</v>
      </c>
      <c r="BH90" s="22">
        <f t="shared" si="417"/>
        <v>104.1968470387729</v>
      </c>
      <c r="BI90" s="22"/>
      <c r="BJ90" s="40" t="s">
        <v>157</v>
      </c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19"/>
      <c r="CX90" s="19"/>
      <c r="CY90" s="19"/>
      <c r="CZ90" s="19"/>
      <c r="DA90" s="21"/>
      <c r="DB90" s="21"/>
      <c r="DC90" s="79"/>
      <c r="DD90" s="79"/>
      <c r="DE90" s="79"/>
      <c r="DF90" s="79"/>
      <c r="DG90" s="79"/>
      <c r="DH90" s="51"/>
      <c r="DI90" s="39"/>
      <c r="DJ90" s="80"/>
      <c r="DK90" s="39"/>
      <c r="DL90" s="39"/>
      <c r="DM90" s="48"/>
      <c r="DN90" s="39"/>
      <c r="DO90" s="39"/>
      <c r="DP90" s="39"/>
      <c r="DQ90" s="39"/>
      <c r="DR90" s="39"/>
      <c r="DS90" s="39"/>
      <c r="DT90" s="39"/>
      <c r="DU90" s="19">
        <f t="shared" si="444"/>
        <v>0</v>
      </c>
      <c r="DV90" s="40">
        <f>+'[1]тарифы (НВВ) население на 4,2%'!CL142*1.042</f>
        <v>3496.5794090477502</v>
      </c>
      <c r="DW90" s="40">
        <f>+'[1]тарифы (НВВ) население на 4,2%'!CM142*1.042</f>
        <v>5926.9168735596113</v>
      </c>
      <c r="DX90" s="21">
        <f>+'[1]тарифы (НВВ) население на 4,2%'!CO142</f>
        <v>58.994912256087716</v>
      </c>
      <c r="DY90" s="21">
        <f t="shared" si="403"/>
        <v>58.994912256087716</v>
      </c>
      <c r="DZ90" s="19">
        <f t="shared" si="420"/>
        <v>0</v>
      </c>
      <c r="EA90" s="19">
        <f t="shared" si="421"/>
        <v>0</v>
      </c>
      <c r="EB90" s="19"/>
      <c r="EC90" s="48">
        <f t="shared" si="557"/>
        <v>0</v>
      </c>
      <c r="ED90" s="48">
        <f t="shared" si="558"/>
        <v>0</v>
      </c>
      <c r="EE90" s="22">
        <v>232.14</v>
      </c>
      <c r="EF90" s="22">
        <v>247.89</v>
      </c>
      <c r="EG90" s="22">
        <f t="shared" si="404"/>
        <v>106.78469888860171</v>
      </c>
      <c r="EH90" s="22">
        <v>146.72999999999999</v>
      </c>
      <c r="EI90" s="22">
        <v>159.12</v>
      </c>
      <c r="EJ90" s="22">
        <f t="shared" si="405"/>
        <v>108.44408096503784</v>
      </c>
      <c r="EK90" s="40" t="s">
        <v>158</v>
      </c>
      <c r="EL90" s="19">
        <v>31.77036</v>
      </c>
      <c r="EM90" s="19">
        <v>26.17952</v>
      </c>
      <c r="EN90" s="40">
        <f t="shared" si="424"/>
        <v>3530.2417138983055</v>
      </c>
      <c r="EO90" s="40">
        <f t="shared" si="425"/>
        <v>6489.6412127999993</v>
      </c>
      <c r="EP90" s="40"/>
      <c r="EQ90" s="21">
        <f t="shared" si="426"/>
        <v>54.398103040509369</v>
      </c>
      <c r="ER90" s="21"/>
      <c r="ES90" s="21">
        <f t="shared" si="566"/>
        <v>7375.1713703999994</v>
      </c>
      <c r="ET90" s="21"/>
      <c r="EU90" s="19">
        <f t="shared" si="406"/>
        <v>7875.5545403999995</v>
      </c>
      <c r="EV90" s="21"/>
      <c r="EW90" s="39"/>
      <c r="EX90" s="39">
        <f t="shared" si="407"/>
        <v>0</v>
      </c>
      <c r="EY90" s="39">
        <f t="shared" si="559"/>
        <v>0</v>
      </c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19">
        <f t="shared" si="427"/>
        <v>2821.9570189016945</v>
      </c>
      <c r="FK90" s="19">
        <f t="shared" si="428"/>
        <v>2959.3994989016946</v>
      </c>
      <c r="FL90" s="19">
        <f t="shared" si="429"/>
        <v>5781.3565178033896</v>
      </c>
      <c r="FM90" s="19">
        <v>28.363</v>
      </c>
      <c r="FN90" s="19">
        <v>26.585999999999999</v>
      </c>
      <c r="FO90" s="22">
        <v>250.72</v>
      </c>
      <c r="FP90" s="22">
        <v>256.38</v>
      </c>
      <c r="FQ90" s="22"/>
      <c r="FR90" s="22">
        <v>198.21</v>
      </c>
      <c r="FS90" s="22">
        <v>203.56</v>
      </c>
      <c r="FT90" s="22"/>
      <c r="FU90" s="129" t="s">
        <v>631</v>
      </c>
      <c r="FV90" s="19"/>
      <c r="FW90" s="19"/>
      <c r="FX90" s="19"/>
      <c r="FY90" s="19"/>
      <c r="FZ90" s="19"/>
      <c r="GA90" s="19"/>
      <c r="GB90" s="19"/>
      <c r="GC90" s="20"/>
      <c r="GD90" s="20"/>
      <c r="GE90" s="21"/>
      <c r="GF90" s="21"/>
      <c r="GG90" s="21"/>
      <c r="GH90" s="21"/>
      <c r="GI90" s="21"/>
      <c r="GJ90" s="21"/>
      <c r="GK90" s="21"/>
      <c r="GL90" s="21"/>
      <c r="GM90" s="19"/>
      <c r="GN90" s="19"/>
      <c r="GO90" s="22">
        <v>256.38</v>
      </c>
      <c r="GP90" s="22">
        <v>266.12</v>
      </c>
      <c r="GQ90" s="22"/>
      <c r="GR90" s="22">
        <v>203.56</v>
      </c>
      <c r="GS90" s="22">
        <v>211.3</v>
      </c>
      <c r="GT90" s="22"/>
      <c r="GU90" s="129" t="s">
        <v>631</v>
      </c>
      <c r="GV90" s="19"/>
      <c r="GW90" s="19"/>
      <c r="GX90" s="19"/>
      <c r="GY90" s="19"/>
      <c r="GZ90" s="23"/>
      <c r="HA90" s="22">
        <v>266.12</v>
      </c>
      <c r="HB90" s="22">
        <v>276.77</v>
      </c>
      <c r="HC90" s="22"/>
      <c r="HD90" s="22">
        <v>211.3</v>
      </c>
      <c r="HE90" s="22">
        <v>219.75</v>
      </c>
      <c r="HF90" s="22"/>
      <c r="HG90" s="236" t="s">
        <v>631</v>
      </c>
    </row>
    <row r="91" spans="2:215" ht="15.75">
      <c r="B91" s="10" t="s">
        <v>238</v>
      </c>
      <c r="C91" s="81" t="s">
        <v>239</v>
      </c>
      <c r="D91" s="143"/>
      <c r="E91" s="143"/>
      <c r="F91" s="74"/>
      <c r="G91" s="74"/>
      <c r="H91" s="74"/>
      <c r="I91" s="143"/>
      <c r="J91" s="75"/>
      <c r="K91" s="75"/>
      <c r="L91" s="75"/>
      <c r="M91" s="191"/>
      <c r="N91" s="191"/>
      <c r="O91" s="74"/>
      <c r="P91" s="74"/>
      <c r="Q91" s="74"/>
      <c r="R91" s="191"/>
      <c r="S91" s="74"/>
      <c r="T91" s="74"/>
      <c r="U91" s="74"/>
      <c r="V91" s="52"/>
      <c r="W91" s="52"/>
      <c r="X91" s="52"/>
      <c r="Y91" s="52"/>
      <c r="Z91" s="22"/>
      <c r="AA91" s="52"/>
      <c r="AB91" s="22"/>
      <c r="AC91" s="52"/>
      <c r="AD91" s="22"/>
      <c r="AE91" s="22"/>
      <c r="AF91" s="22"/>
      <c r="AG91" s="22">
        <f t="shared" si="555"/>
        <v>0</v>
      </c>
      <c r="AH91" s="22"/>
      <c r="AI91" s="22"/>
      <c r="AJ91" s="5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>
        <f t="shared" si="556"/>
        <v>0</v>
      </c>
      <c r="AV91" s="77"/>
      <c r="AW91" s="77"/>
      <c r="AX91" s="78"/>
      <c r="AY91" s="22">
        <f t="shared" si="415"/>
        <v>0</v>
      </c>
      <c r="AZ91" s="22"/>
      <c r="BA91" s="22"/>
      <c r="BB91" s="22"/>
      <c r="BC91" s="22"/>
      <c r="BD91" s="22"/>
      <c r="BE91" s="22">
        <f t="shared" si="416"/>
        <v>0</v>
      </c>
      <c r="BF91" s="22"/>
      <c r="BG91" s="22"/>
      <c r="BH91" s="22">
        <f t="shared" si="417"/>
        <v>0</v>
      </c>
      <c r="BI91" s="22"/>
      <c r="BJ91" s="40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19"/>
      <c r="CX91" s="19"/>
      <c r="CY91" s="19"/>
      <c r="CZ91" s="19"/>
      <c r="DA91" s="21"/>
      <c r="DB91" s="21"/>
      <c r="DC91" s="79"/>
      <c r="DD91" s="79"/>
      <c r="DE91" s="79"/>
      <c r="DF91" s="79"/>
      <c r="DG91" s="79"/>
      <c r="DH91" s="51"/>
      <c r="DI91" s="39"/>
      <c r="DJ91" s="80"/>
      <c r="DK91" s="39"/>
      <c r="DL91" s="39"/>
      <c r="DM91" s="48"/>
      <c r="DN91" s="39"/>
      <c r="DO91" s="39"/>
      <c r="DP91" s="39"/>
      <c r="DQ91" s="39"/>
      <c r="DR91" s="39"/>
      <c r="DS91" s="39"/>
      <c r="DT91" s="39"/>
      <c r="DU91" s="19">
        <f t="shared" si="444"/>
        <v>0</v>
      </c>
      <c r="DV91" s="40">
        <f t="shared" si="418"/>
        <v>0</v>
      </c>
      <c r="DW91" s="40">
        <f t="shared" si="419"/>
        <v>0</v>
      </c>
      <c r="DX91" s="46"/>
      <c r="DY91" s="21">
        <f t="shared" si="403"/>
        <v>0</v>
      </c>
      <c r="DZ91" s="19">
        <f t="shared" si="420"/>
        <v>0</v>
      </c>
      <c r="EA91" s="19">
        <f t="shared" si="421"/>
        <v>0</v>
      </c>
      <c r="EB91" s="19"/>
      <c r="EC91" s="48">
        <f t="shared" si="557"/>
        <v>0</v>
      </c>
      <c r="ED91" s="48">
        <f t="shared" si="558"/>
        <v>0</v>
      </c>
      <c r="EE91" s="22"/>
      <c r="EF91" s="22"/>
      <c r="EG91" s="22">
        <f t="shared" si="404"/>
        <v>0</v>
      </c>
      <c r="EH91" s="22"/>
      <c r="EI91" s="22"/>
      <c r="EJ91" s="22">
        <f t="shared" si="405"/>
        <v>0</v>
      </c>
      <c r="EK91" s="40"/>
      <c r="EL91" s="19"/>
      <c r="EM91" s="19"/>
      <c r="EN91" s="40">
        <f t="shared" si="424"/>
        <v>0</v>
      </c>
      <c r="EO91" s="40">
        <f t="shared" si="425"/>
        <v>0</v>
      </c>
      <c r="EP91" s="40"/>
      <c r="EQ91" s="21">
        <f t="shared" si="426"/>
        <v>0</v>
      </c>
      <c r="ER91" s="21"/>
      <c r="ES91" s="21">
        <f t="shared" si="566"/>
        <v>0</v>
      </c>
      <c r="ET91" s="21"/>
      <c r="EU91" s="19">
        <f t="shared" si="406"/>
        <v>0</v>
      </c>
      <c r="EV91" s="21"/>
      <c r="EW91" s="39"/>
      <c r="EX91" s="39">
        <f t="shared" si="407"/>
        <v>0</v>
      </c>
      <c r="EY91" s="39">
        <f t="shared" si="559"/>
        <v>0</v>
      </c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19">
        <f t="shared" si="427"/>
        <v>0</v>
      </c>
      <c r="FK91" s="19">
        <f t="shared" si="428"/>
        <v>0</v>
      </c>
      <c r="FL91" s="19">
        <f t="shared" si="429"/>
        <v>0</v>
      </c>
      <c r="FM91" s="19"/>
      <c r="FN91" s="19"/>
      <c r="FO91" s="22"/>
      <c r="FP91" s="22"/>
      <c r="FQ91" s="22"/>
      <c r="FR91" s="22"/>
      <c r="FS91" s="22"/>
      <c r="FT91" s="22"/>
      <c r="FU91" s="40"/>
      <c r="FV91" s="19"/>
      <c r="FW91" s="19"/>
      <c r="FX91" s="19"/>
      <c r="FY91" s="19"/>
      <c r="FZ91" s="19"/>
      <c r="GA91" s="19"/>
      <c r="GB91" s="19"/>
      <c r="GC91" s="20"/>
      <c r="GD91" s="20"/>
      <c r="GE91" s="21"/>
      <c r="GF91" s="21"/>
      <c r="GG91" s="21"/>
      <c r="GH91" s="21"/>
      <c r="GI91" s="21"/>
      <c r="GJ91" s="21"/>
      <c r="GK91" s="21"/>
      <c r="GL91" s="21"/>
      <c r="GM91" s="19"/>
      <c r="GN91" s="19"/>
      <c r="GO91" s="22"/>
      <c r="GP91" s="22"/>
      <c r="GQ91" s="22"/>
      <c r="GR91" s="22"/>
      <c r="GS91" s="22"/>
      <c r="GT91" s="22"/>
      <c r="GU91" s="43"/>
      <c r="GV91" s="19"/>
      <c r="GW91" s="19"/>
      <c r="GX91" s="19"/>
      <c r="GY91" s="19"/>
      <c r="GZ91" s="19"/>
      <c r="HA91" s="22"/>
      <c r="HB91" s="22"/>
      <c r="HC91" s="22"/>
      <c r="HD91" s="22"/>
      <c r="HE91" s="22"/>
      <c r="HF91" s="22"/>
      <c r="HG91" s="233"/>
    </row>
    <row r="92" spans="2:215" ht="15.75">
      <c r="B92" s="10"/>
      <c r="C92" s="184" t="s">
        <v>131</v>
      </c>
      <c r="D92" s="143"/>
      <c r="E92" s="143"/>
      <c r="F92" s="74"/>
      <c r="G92" s="74"/>
      <c r="H92" s="74"/>
      <c r="I92" s="143"/>
      <c r="J92" s="75"/>
      <c r="K92" s="75"/>
      <c r="L92" s="75"/>
      <c r="M92" s="191"/>
      <c r="N92" s="191"/>
      <c r="O92" s="74"/>
      <c r="P92" s="74"/>
      <c r="Q92" s="74"/>
      <c r="R92" s="191"/>
      <c r="S92" s="74"/>
      <c r="T92" s="74"/>
      <c r="U92" s="74"/>
      <c r="V92" s="52"/>
      <c r="W92" s="52"/>
      <c r="X92" s="52"/>
      <c r="Y92" s="52"/>
      <c r="Z92" s="22"/>
      <c r="AA92" s="52"/>
      <c r="AB92" s="22"/>
      <c r="AC92" s="52"/>
      <c r="AD92" s="22">
        <v>48.18</v>
      </c>
      <c r="AE92" s="22">
        <f>+IF(AC92=0,,AF92/AC92*100)</f>
        <v>0</v>
      </c>
      <c r="AF92" s="22">
        <v>48.18</v>
      </c>
      <c r="AG92" s="22">
        <f t="shared" si="555"/>
        <v>100</v>
      </c>
      <c r="AH92" s="22"/>
      <c r="AI92" s="22"/>
      <c r="AJ92" s="52"/>
      <c r="AK92" s="22"/>
      <c r="AL92" s="22"/>
      <c r="AM92" s="22"/>
      <c r="AN92" s="22"/>
      <c r="AO92" s="22"/>
      <c r="AP92" s="22"/>
      <c r="AQ92" s="22"/>
      <c r="AR92" s="22">
        <v>26.18</v>
      </c>
      <c r="AS92" s="22">
        <f>+IF(AQ92=0,,AT92/AQ92*100)</f>
        <v>0</v>
      </c>
      <c r="AT92" s="22">
        <v>28.98</v>
      </c>
      <c r="AU92" s="22">
        <f t="shared" si="556"/>
        <v>110.69518716577539</v>
      </c>
      <c r="AV92" s="77"/>
      <c r="AW92" s="77"/>
      <c r="AX92" s="239" t="s">
        <v>240</v>
      </c>
      <c r="AY92" s="22">
        <f t="shared" si="415"/>
        <v>375.27000000000004</v>
      </c>
      <c r="AZ92" s="22">
        <f>+[3]БПр!$AC$498/1000</f>
        <v>258.90000000000003</v>
      </c>
      <c r="BA92" s="22">
        <f>+[3]БПр!$AB$498/1000</f>
        <v>34.71</v>
      </c>
      <c r="BB92" s="22">
        <f>+[3]БПр!$AD$498/1000</f>
        <v>81.660000000000011</v>
      </c>
      <c r="BC92" s="22">
        <v>48.18</v>
      </c>
      <c r="BD92" s="22">
        <v>50.2</v>
      </c>
      <c r="BE92" s="22">
        <f t="shared" si="416"/>
        <v>104.19261104192611</v>
      </c>
      <c r="BF92" s="22">
        <v>28.98</v>
      </c>
      <c r="BG92" s="22">
        <v>30.19</v>
      </c>
      <c r="BH92" s="22">
        <f t="shared" si="417"/>
        <v>104.1752933057281</v>
      </c>
      <c r="BI92" s="22"/>
      <c r="BJ92" s="241" t="s">
        <v>241</v>
      </c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19"/>
      <c r="CX92" s="19"/>
      <c r="CY92" s="19"/>
      <c r="CZ92" s="19"/>
      <c r="DA92" s="21"/>
      <c r="DB92" s="21"/>
      <c r="DC92" s="79"/>
      <c r="DD92" s="79"/>
      <c r="DE92" s="79"/>
      <c r="DF92" s="79"/>
      <c r="DG92" s="79"/>
      <c r="DH92" s="51"/>
      <c r="DI92" s="39"/>
      <c r="DJ92" s="80"/>
      <c r="DK92" s="39"/>
      <c r="DL92" s="39"/>
      <c r="DM92" s="48"/>
      <c r="DN92" s="39"/>
      <c r="DO92" s="39"/>
      <c r="DP92" s="39"/>
      <c r="DQ92" s="39"/>
      <c r="DR92" s="166"/>
      <c r="DS92" s="166"/>
      <c r="DT92" s="39"/>
      <c r="DU92" s="19">
        <f t="shared" si="444"/>
        <v>6358.408474576273</v>
      </c>
      <c r="DV92" s="40">
        <f t="shared" si="418"/>
        <v>6623.8906779661038</v>
      </c>
      <c r="DW92" s="40">
        <f t="shared" si="419"/>
        <v>12996.780000000002</v>
      </c>
      <c r="DX92" s="21"/>
      <c r="DY92" s="21">
        <f t="shared" si="403"/>
        <v>50.965629009386191</v>
      </c>
      <c r="DZ92" s="19">
        <f t="shared" si="420"/>
        <v>18.080508600000002</v>
      </c>
      <c r="EA92" s="19">
        <f t="shared" si="421"/>
        <v>18.838554000000002</v>
      </c>
      <c r="EB92" s="19"/>
      <c r="EC92" s="48">
        <f>+(BC92-BF92/1.18)*AZ92</f>
        <v>6115.3935254237285</v>
      </c>
      <c r="ED92" s="48">
        <f>+(BD92-BG92/1.18)*AZ92</f>
        <v>6372.8893220338996</v>
      </c>
      <c r="EE92" s="22">
        <v>50.2</v>
      </c>
      <c r="EF92" s="22">
        <v>53.21</v>
      </c>
      <c r="EG92" s="22">
        <f t="shared" si="404"/>
        <v>105.99601593625498</v>
      </c>
      <c r="EH92" s="22">
        <v>30.19</v>
      </c>
      <c r="EI92" s="22">
        <v>32.74</v>
      </c>
      <c r="EJ92" s="22">
        <f t="shared" si="405"/>
        <v>108.4465054653859</v>
      </c>
      <c r="EK92" s="241" t="s">
        <v>242</v>
      </c>
      <c r="EL92" s="19">
        <v>375.27</v>
      </c>
      <c r="EM92" s="19">
        <v>258.89999999999998</v>
      </c>
      <c r="EN92" s="40">
        <f t="shared" si="424"/>
        <v>7183.3779661016961</v>
      </c>
      <c r="EO92" s="40">
        <f t="shared" si="425"/>
        <v>13776.069</v>
      </c>
      <c r="EP92" s="40"/>
      <c r="EQ92" s="21">
        <f t="shared" si="426"/>
        <v>52.143887825341871</v>
      </c>
      <c r="ER92" s="21"/>
      <c r="ES92" s="21">
        <f t="shared" si="566"/>
        <v>18838.554</v>
      </c>
      <c r="ET92" s="21"/>
      <c r="EU92" s="19">
        <f t="shared" si="406"/>
        <v>19968.116699999999</v>
      </c>
      <c r="EV92" s="21"/>
      <c r="EW92" s="39"/>
      <c r="EX92" s="39">
        <f t="shared" si="407"/>
        <v>18838.554000000004</v>
      </c>
      <c r="EY92" s="39">
        <f t="shared" si="559"/>
        <v>19968.116700000002</v>
      </c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19">
        <f t="shared" si="427"/>
        <v>6372.8893220338987</v>
      </c>
      <c r="FK92" s="19">
        <f t="shared" si="428"/>
        <v>6592.6910338983043</v>
      </c>
      <c r="FL92" s="19">
        <f t="shared" si="429"/>
        <v>12965.580355932203</v>
      </c>
      <c r="FM92" s="19">
        <v>376.64929999999998</v>
      </c>
      <c r="FN92" s="19">
        <v>283.8</v>
      </c>
      <c r="FO92" s="22">
        <v>58.14</v>
      </c>
      <c r="FP92" s="22">
        <v>59.3</v>
      </c>
      <c r="FQ92" s="22"/>
      <c r="FR92" s="22">
        <v>44.83</v>
      </c>
      <c r="FS92" s="22">
        <v>45.73</v>
      </c>
      <c r="FT92" s="22"/>
      <c r="FU92" s="241" t="s">
        <v>659</v>
      </c>
      <c r="FV92" s="19"/>
      <c r="FW92" s="19"/>
      <c r="FX92" s="19"/>
      <c r="FY92" s="19"/>
      <c r="FZ92" s="19"/>
      <c r="GA92" s="19"/>
      <c r="GB92" s="19"/>
      <c r="GC92" s="20"/>
      <c r="GD92" s="20"/>
      <c r="GE92" s="21"/>
      <c r="GF92" s="21"/>
      <c r="GG92" s="21"/>
      <c r="GH92" s="21"/>
      <c r="GI92" s="21"/>
      <c r="GJ92" s="21"/>
      <c r="GK92" s="21"/>
      <c r="GL92" s="21"/>
      <c r="GM92" s="19"/>
      <c r="GN92" s="19"/>
      <c r="GO92" s="22">
        <v>59.3</v>
      </c>
      <c r="GP92" s="22">
        <v>60.92</v>
      </c>
      <c r="GQ92" s="22"/>
      <c r="GR92" s="22">
        <v>45.73</v>
      </c>
      <c r="GS92" s="22">
        <v>47.56</v>
      </c>
      <c r="GT92" s="22"/>
      <c r="GU92" s="241" t="s">
        <v>659</v>
      </c>
      <c r="GV92" s="19"/>
      <c r="GW92" s="19"/>
      <c r="GX92" s="19"/>
      <c r="GY92" s="19"/>
      <c r="GZ92" s="23"/>
      <c r="HA92" s="22">
        <v>60.92</v>
      </c>
      <c r="HB92" s="22">
        <v>6.7</v>
      </c>
      <c r="HC92" s="22"/>
      <c r="HD92" s="22">
        <v>47.56</v>
      </c>
      <c r="HE92" s="22">
        <v>49.46</v>
      </c>
      <c r="HF92" s="22"/>
      <c r="HG92" s="241" t="s">
        <v>659</v>
      </c>
    </row>
    <row r="93" spans="2:215" ht="15.75">
      <c r="B93" s="10"/>
      <c r="C93" s="184" t="s">
        <v>133</v>
      </c>
      <c r="D93" s="143"/>
      <c r="E93" s="143"/>
      <c r="F93" s="74"/>
      <c r="G93" s="74"/>
      <c r="H93" s="74"/>
      <c r="I93" s="143"/>
      <c r="J93" s="75"/>
      <c r="K93" s="75"/>
      <c r="L93" s="75"/>
      <c r="M93" s="191"/>
      <c r="N93" s="191"/>
      <c r="O93" s="74"/>
      <c r="P93" s="74"/>
      <c r="Q93" s="74"/>
      <c r="R93" s="191"/>
      <c r="S93" s="74"/>
      <c r="T93" s="74"/>
      <c r="U93" s="74"/>
      <c r="V93" s="52"/>
      <c r="W93" s="52"/>
      <c r="X93" s="52"/>
      <c r="Y93" s="52"/>
      <c r="Z93" s="22"/>
      <c r="AA93" s="52"/>
      <c r="AB93" s="22"/>
      <c r="AC93" s="52"/>
      <c r="AD93" s="22">
        <v>109.87</v>
      </c>
      <c r="AE93" s="22">
        <f>+IF(AC93=0,,AF93/AC93*100)</f>
        <v>0</v>
      </c>
      <c r="AF93" s="22">
        <v>109.87</v>
      </c>
      <c r="AG93" s="22">
        <f t="shared" si="555"/>
        <v>100</v>
      </c>
      <c r="AH93" s="22"/>
      <c r="AI93" s="22"/>
      <c r="AJ93" s="52"/>
      <c r="AK93" s="22"/>
      <c r="AL93" s="22"/>
      <c r="AM93" s="22"/>
      <c r="AN93" s="22"/>
      <c r="AO93" s="22"/>
      <c r="AP93" s="22"/>
      <c r="AQ93" s="22"/>
      <c r="AR93" s="22">
        <v>32.79</v>
      </c>
      <c r="AS93" s="22">
        <f>+IF(AQ93=0,,AT93/AQ93*100)</f>
        <v>0</v>
      </c>
      <c r="AT93" s="22">
        <v>36.29</v>
      </c>
      <c r="AU93" s="22">
        <f t="shared" si="556"/>
        <v>110.67398597133274</v>
      </c>
      <c r="AV93" s="77"/>
      <c r="AW93" s="77"/>
      <c r="AX93" s="239"/>
      <c r="AY93" s="22">
        <f t="shared" si="415"/>
        <v>203.27398000000002</v>
      </c>
      <c r="AZ93" s="22">
        <f>+[4]БПр!$O$642/1000</f>
        <v>176.26325000000003</v>
      </c>
      <c r="BA93" s="22">
        <f>+[4]БПр!$N$642/1000</f>
        <v>9.6912600000000015</v>
      </c>
      <c r="BB93" s="22">
        <f>+([4]БПр!$P$642+[4]БПр!$L$642)/1000</f>
        <v>17.319470000000006</v>
      </c>
      <c r="BC93" s="22">
        <v>109.87</v>
      </c>
      <c r="BD93" s="22">
        <v>113.32</v>
      </c>
      <c r="BE93" s="22">
        <f t="shared" si="416"/>
        <v>103.14007463365795</v>
      </c>
      <c r="BF93" s="22">
        <v>36.29</v>
      </c>
      <c r="BG93" s="22">
        <f>+ROUNDDOWN(AT93*1.042,2)</f>
        <v>37.81</v>
      </c>
      <c r="BH93" s="22">
        <f t="shared" si="417"/>
        <v>104.18848167539268</v>
      </c>
      <c r="BI93" s="22"/>
      <c r="BJ93" s="241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19"/>
      <c r="CX93" s="19"/>
      <c r="CY93" s="19"/>
      <c r="CZ93" s="19"/>
      <c r="DA93" s="21"/>
      <c r="DB93" s="21"/>
      <c r="DC93" s="79"/>
      <c r="DD93" s="79"/>
      <c r="DE93" s="79"/>
      <c r="DF93" s="79"/>
      <c r="DG93" s="79"/>
      <c r="DH93" s="51"/>
      <c r="DI93" s="39"/>
      <c r="DJ93" s="80"/>
      <c r="DK93" s="39"/>
      <c r="DL93" s="39"/>
      <c r="DM93" s="48"/>
      <c r="DN93" s="39"/>
      <c r="DO93" s="39"/>
      <c r="DP93" s="39"/>
      <c r="DQ93" s="39"/>
      <c r="DR93" s="166"/>
      <c r="DS93" s="166"/>
      <c r="DT93" s="39"/>
      <c r="DU93" s="19">
        <f t="shared" si="444"/>
        <v>5420.8418156779671</v>
      </c>
      <c r="DV93" s="40">
        <f t="shared" si="418"/>
        <v>5647.8927817796621</v>
      </c>
      <c r="DW93" s="40">
        <f t="shared" si="419"/>
        <v>19974.15149</v>
      </c>
      <c r="DX93" s="46"/>
      <c r="DY93" s="21">
        <f t="shared" si="403"/>
        <v>28.276008543377991</v>
      </c>
      <c r="DZ93" s="19">
        <f t="shared" si="420"/>
        <v>22.333712182600003</v>
      </c>
      <c r="EA93" s="19">
        <f t="shared" si="421"/>
        <v>23.035007413599999</v>
      </c>
      <c r="EB93" s="19"/>
      <c r="EC93" s="48">
        <f>+(BC93-BF93/1.18)*AZ93</f>
        <v>13945.201461822036</v>
      </c>
      <c r="ED93" s="48">
        <f>+(BD93-BG93/1.18)*AZ93</f>
        <v>14326.258708220341</v>
      </c>
      <c r="EE93" s="22">
        <v>113.32</v>
      </c>
      <c r="EF93" s="22">
        <v>120.11</v>
      </c>
      <c r="EG93" s="22">
        <f t="shared" si="404"/>
        <v>105.99188139781151</v>
      </c>
      <c r="EH93" s="22">
        <v>37.81</v>
      </c>
      <c r="EI93" s="22">
        <v>41</v>
      </c>
      <c r="EJ93" s="22">
        <f t="shared" si="405"/>
        <v>108.43692144935201</v>
      </c>
      <c r="EK93" s="241"/>
      <c r="EL93" s="19">
        <v>203.27</v>
      </c>
      <c r="EM93" s="19">
        <v>176.26</v>
      </c>
      <c r="EN93" s="40">
        <f t="shared" si="424"/>
        <v>6124.2881355932204</v>
      </c>
      <c r="EO93" s="40">
        <f t="shared" si="425"/>
        <v>21170.588599999999</v>
      </c>
      <c r="EP93" s="40"/>
      <c r="EQ93" s="21">
        <f t="shared" si="426"/>
        <v>28.9282846656102</v>
      </c>
      <c r="ER93" s="21"/>
      <c r="ES93" s="21">
        <f t="shared" si="566"/>
        <v>23034.556400000001</v>
      </c>
      <c r="ET93" s="21"/>
      <c r="EU93" s="19">
        <f t="shared" si="406"/>
        <v>24414.759700000002</v>
      </c>
      <c r="EV93" s="21"/>
      <c r="EW93" s="39"/>
      <c r="EX93" s="39">
        <f t="shared" si="407"/>
        <v>23035.0074136</v>
      </c>
      <c r="EY93" s="39">
        <f t="shared" si="559"/>
        <v>24415.237737800002</v>
      </c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19">
        <f t="shared" si="427"/>
        <v>14325.994555932202</v>
      </c>
      <c r="FK93" s="19">
        <f t="shared" si="428"/>
        <v>15046.300464406781</v>
      </c>
      <c r="FL93" s="19">
        <f t="shared" si="429"/>
        <v>29372.295020338985</v>
      </c>
      <c r="FM93" s="19">
        <v>172.244</v>
      </c>
      <c r="FN93" s="19">
        <v>146.28</v>
      </c>
      <c r="FO93" s="22">
        <v>147.32</v>
      </c>
      <c r="FP93" s="22">
        <v>150.21</v>
      </c>
      <c r="FQ93" s="22"/>
      <c r="FR93" s="22">
        <v>56.13</v>
      </c>
      <c r="FS93" s="22">
        <v>57.25</v>
      </c>
      <c r="FT93" s="22"/>
      <c r="FU93" s="241"/>
      <c r="FV93" s="19"/>
      <c r="FW93" s="19"/>
      <c r="FX93" s="19"/>
      <c r="FY93" s="19"/>
      <c r="FZ93" s="19"/>
      <c r="GA93" s="19"/>
      <c r="GB93" s="19"/>
      <c r="GC93" s="20"/>
      <c r="GD93" s="20"/>
      <c r="GE93" s="21"/>
      <c r="GF93" s="21"/>
      <c r="GG93" s="21"/>
      <c r="GH93" s="21"/>
      <c r="GI93" s="21"/>
      <c r="GJ93" s="21"/>
      <c r="GK93" s="21"/>
      <c r="GL93" s="21"/>
      <c r="GM93" s="19"/>
      <c r="GN93" s="19"/>
      <c r="GO93" s="22">
        <v>150.21</v>
      </c>
      <c r="GP93" s="22">
        <v>154.35</v>
      </c>
      <c r="GQ93" s="22"/>
      <c r="GR93" s="22">
        <v>57.25</v>
      </c>
      <c r="GS93" s="22">
        <v>59.54</v>
      </c>
      <c r="GT93" s="22"/>
      <c r="GU93" s="241"/>
      <c r="GV93" s="19"/>
      <c r="GW93" s="19"/>
      <c r="GX93" s="19"/>
      <c r="GY93" s="19"/>
      <c r="GZ93" s="23"/>
      <c r="HA93" s="22">
        <v>154.35</v>
      </c>
      <c r="HB93" s="22">
        <v>158.87</v>
      </c>
      <c r="HC93" s="22"/>
      <c r="HD93" s="22">
        <v>59.54</v>
      </c>
      <c r="HE93" s="22">
        <v>61.92</v>
      </c>
      <c r="HF93" s="22"/>
      <c r="HG93" s="241"/>
    </row>
    <row r="94" spans="2:215" ht="15.75">
      <c r="B94" s="10"/>
      <c r="C94" s="184" t="s">
        <v>135</v>
      </c>
      <c r="D94" s="143"/>
      <c r="E94" s="143"/>
      <c r="F94" s="74"/>
      <c r="G94" s="74"/>
      <c r="H94" s="74"/>
      <c r="I94" s="143"/>
      <c r="J94" s="75"/>
      <c r="K94" s="75"/>
      <c r="L94" s="75"/>
      <c r="M94" s="191"/>
      <c r="N94" s="191"/>
      <c r="O94" s="74"/>
      <c r="P94" s="74"/>
      <c r="Q94" s="74"/>
      <c r="R94" s="191"/>
      <c r="S94" s="74"/>
      <c r="T94" s="74"/>
      <c r="U94" s="74"/>
      <c r="V94" s="52"/>
      <c r="W94" s="52"/>
      <c r="X94" s="52"/>
      <c r="Y94" s="52"/>
      <c r="Z94" s="22"/>
      <c r="AA94" s="52"/>
      <c r="AB94" s="22"/>
      <c r="AC94" s="52"/>
      <c r="AD94" s="22">
        <v>72.63</v>
      </c>
      <c r="AE94" s="22">
        <f>+IF(AC94=0,,AF94/AC94*100)</f>
        <v>0</v>
      </c>
      <c r="AF94" s="22">
        <v>72.63</v>
      </c>
      <c r="AG94" s="22">
        <f t="shared" si="555"/>
        <v>100</v>
      </c>
      <c r="AH94" s="22"/>
      <c r="AI94" s="22"/>
      <c r="AJ94" s="52"/>
      <c r="AK94" s="22"/>
      <c r="AL94" s="22"/>
      <c r="AM94" s="22"/>
      <c r="AN94" s="22"/>
      <c r="AO94" s="22"/>
      <c r="AP94" s="22"/>
      <c r="AQ94" s="22"/>
      <c r="AR94" s="22">
        <v>20.149999999999999</v>
      </c>
      <c r="AS94" s="22">
        <f>+IF(AQ94=0,,AT94/AQ94*100)</f>
        <v>0</v>
      </c>
      <c r="AT94" s="22">
        <v>22.31</v>
      </c>
      <c r="AU94" s="22">
        <f t="shared" si="556"/>
        <v>110.71960297766749</v>
      </c>
      <c r="AV94" s="77"/>
      <c r="AW94" s="77"/>
      <c r="AX94" s="239"/>
      <c r="AY94" s="22">
        <f t="shared" si="415"/>
        <v>10.117250000000002</v>
      </c>
      <c r="AZ94" s="22"/>
      <c r="BA94" s="22"/>
      <c r="BB94" s="22">
        <f>+[4]БПр!$P$698/1000+[4]БПр!$L$698/1000</f>
        <v>10.117250000000002</v>
      </c>
      <c r="BC94" s="22">
        <v>72.63</v>
      </c>
      <c r="BD94" s="22">
        <v>75.099999999999994</v>
      </c>
      <c r="BE94" s="22">
        <f t="shared" si="416"/>
        <v>103.40079856808482</v>
      </c>
      <c r="BF94" s="22">
        <v>22.31</v>
      </c>
      <c r="BG94" s="22">
        <f>+ROUNDDOWN(AT94*1.042,2)</f>
        <v>23.24</v>
      </c>
      <c r="BH94" s="22">
        <f t="shared" si="417"/>
        <v>104.16853428955626</v>
      </c>
      <c r="BI94" s="22"/>
      <c r="BJ94" s="241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19"/>
      <c r="CX94" s="19"/>
      <c r="CY94" s="19"/>
      <c r="CZ94" s="19"/>
      <c r="DA94" s="21"/>
      <c r="DB94" s="21"/>
      <c r="DC94" s="79"/>
      <c r="DD94" s="79"/>
      <c r="DE94" s="79"/>
      <c r="DF94" s="79"/>
      <c r="DG94" s="79"/>
      <c r="DH94" s="51"/>
      <c r="DI94" s="39"/>
      <c r="DJ94" s="80"/>
      <c r="DK94" s="39"/>
      <c r="DL94" s="39"/>
      <c r="DM94" s="48"/>
      <c r="DN94" s="39"/>
      <c r="DO94" s="39"/>
      <c r="DP94" s="39"/>
      <c r="DQ94" s="39"/>
      <c r="DR94" s="166"/>
      <c r="DS94" s="166"/>
      <c r="DT94" s="39"/>
      <c r="DU94" s="19">
        <f t="shared" si="444"/>
        <v>0</v>
      </c>
      <c r="DV94" s="40">
        <f t="shared" si="418"/>
        <v>0</v>
      </c>
      <c r="DW94" s="40">
        <f t="shared" si="419"/>
        <v>0</v>
      </c>
      <c r="DX94" s="46"/>
      <c r="DY94" s="21">
        <f t="shared" si="403"/>
        <v>0</v>
      </c>
      <c r="DZ94" s="19">
        <f t="shared" si="420"/>
        <v>0.73481586750000005</v>
      </c>
      <c r="EA94" s="19">
        <f t="shared" si="421"/>
        <v>0.75980547500000006</v>
      </c>
      <c r="EB94" s="19"/>
      <c r="EC94" s="48">
        <f t="shared" si="557"/>
        <v>0</v>
      </c>
      <c r="ED94" s="48">
        <f t="shared" si="558"/>
        <v>0</v>
      </c>
      <c r="EE94" s="22">
        <v>75.099999999999994</v>
      </c>
      <c r="EF94" s="22">
        <v>79.599999999999994</v>
      </c>
      <c r="EG94" s="22">
        <f t="shared" si="404"/>
        <v>105.99201065246338</v>
      </c>
      <c r="EH94" s="22">
        <v>23.24</v>
      </c>
      <c r="EI94" s="22">
        <v>25.2</v>
      </c>
      <c r="EJ94" s="22">
        <f t="shared" si="405"/>
        <v>108.43373493975903</v>
      </c>
      <c r="EK94" s="241"/>
      <c r="EL94" s="19">
        <v>10.119999999999999</v>
      </c>
      <c r="EM94" s="19"/>
      <c r="EN94" s="40">
        <f t="shared" si="424"/>
        <v>0</v>
      </c>
      <c r="EO94" s="40">
        <f t="shared" si="425"/>
        <v>0</v>
      </c>
      <c r="EP94" s="40"/>
      <c r="EQ94" s="21">
        <f t="shared" si="426"/>
        <v>0</v>
      </c>
      <c r="ER94" s="21"/>
      <c r="ES94" s="21">
        <f t="shared" si="566"/>
        <v>760.01199999999983</v>
      </c>
      <c r="ET94" s="21"/>
      <c r="EU94" s="19">
        <f t="shared" si="406"/>
        <v>805.55199999999991</v>
      </c>
      <c r="EV94" s="21"/>
      <c r="EW94" s="39"/>
      <c r="EX94" s="39">
        <f t="shared" si="407"/>
        <v>759.80547500000011</v>
      </c>
      <c r="EY94" s="39">
        <f t="shared" si="559"/>
        <v>805.33310000000006</v>
      </c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19">
        <f t="shared" si="427"/>
        <v>0</v>
      </c>
      <c r="FK94" s="19">
        <f t="shared" si="428"/>
        <v>0</v>
      </c>
      <c r="FL94" s="19">
        <f t="shared" si="429"/>
        <v>0</v>
      </c>
      <c r="FM94" s="19">
        <v>8.8610000000000007</v>
      </c>
      <c r="FN94" s="19">
        <v>0.65100000000000002</v>
      </c>
      <c r="FO94" s="22">
        <v>95.49</v>
      </c>
      <c r="FP94" s="22">
        <v>97.22</v>
      </c>
      <c r="FQ94" s="22"/>
      <c r="FR94" s="22">
        <v>34.520000000000003</v>
      </c>
      <c r="FS94" s="22">
        <v>35.21</v>
      </c>
      <c r="FT94" s="22"/>
      <c r="FU94" s="241"/>
      <c r="FV94" s="19"/>
      <c r="FW94" s="19"/>
      <c r="FX94" s="19"/>
      <c r="FY94" s="19"/>
      <c r="FZ94" s="19"/>
      <c r="GA94" s="19"/>
      <c r="GB94" s="19"/>
      <c r="GC94" s="20"/>
      <c r="GD94" s="20"/>
      <c r="GE94" s="21"/>
      <c r="GF94" s="21"/>
      <c r="GG94" s="21"/>
      <c r="GH94" s="21"/>
      <c r="GI94" s="21"/>
      <c r="GJ94" s="21"/>
      <c r="GK94" s="21"/>
      <c r="GL94" s="21"/>
      <c r="GM94" s="19"/>
      <c r="GN94" s="19"/>
      <c r="GO94" s="22">
        <v>97.22</v>
      </c>
      <c r="GP94" s="22">
        <v>99.91</v>
      </c>
      <c r="GQ94" s="22"/>
      <c r="GR94" s="22">
        <v>35.21</v>
      </c>
      <c r="GS94" s="22">
        <v>36.619999999999997</v>
      </c>
      <c r="GT94" s="22"/>
      <c r="GU94" s="241"/>
      <c r="GV94" s="19"/>
      <c r="GW94" s="19"/>
      <c r="GX94" s="19"/>
      <c r="GY94" s="19"/>
      <c r="GZ94" s="23"/>
      <c r="HA94" s="22">
        <v>99.91</v>
      </c>
      <c r="HB94" s="22">
        <v>102.83</v>
      </c>
      <c r="HC94" s="22"/>
      <c r="HD94" s="22">
        <v>36.619999999999997</v>
      </c>
      <c r="HE94" s="22">
        <v>38.08</v>
      </c>
      <c r="HF94" s="22"/>
      <c r="HG94" s="241"/>
    </row>
    <row r="95" spans="2:215" ht="15.75">
      <c r="B95" s="10" t="s">
        <v>243</v>
      </c>
      <c r="C95" s="81" t="s">
        <v>244</v>
      </c>
      <c r="D95" s="143"/>
      <c r="E95" s="143"/>
      <c r="F95" s="74"/>
      <c r="G95" s="74"/>
      <c r="H95" s="74"/>
      <c r="I95" s="143"/>
      <c r="J95" s="75"/>
      <c r="K95" s="75"/>
      <c r="L95" s="75"/>
      <c r="M95" s="191"/>
      <c r="N95" s="191"/>
      <c r="O95" s="74"/>
      <c r="P95" s="74"/>
      <c r="Q95" s="74"/>
      <c r="R95" s="191"/>
      <c r="S95" s="74"/>
      <c r="T95" s="74"/>
      <c r="U95" s="74"/>
      <c r="V95" s="52"/>
      <c r="W95" s="52"/>
      <c r="X95" s="52"/>
      <c r="Y95" s="52"/>
      <c r="Z95" s="22"/>
      <c r="AA95" s="52"/>
      <c r="AB95" s="22"/>
      <c r="AC95" s="52"/>
      <c r="AD95" s="22"/>
      <c r="AE95" s="22"/>
      <c r="AF95" s="22"/>
      <c r="AG95" s="22"/>
      <c r="AH95" s="22"/>
      <c r="AI95" s="22"/>
      <c r="AJ95" s="5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77"/>
      <c r="AW95" s="77"/>
      <c r="AX95" s="78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83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19"/>
      <c r="CX95" s="19"/>
      <c r="CY95" s="19"/>
      <c r="CZ95" s="19"/>
      <c r="DA95" s="21"/>
      <c r="DB95" s="21"/>
      <c r="DC95" s="79"/>
      <c r="DD95" s="79"/>
      <c r="DE95" s="79"/>
      <c r="DF95" s="79"/>
      <c r="DG95" s="79"/>
      <c r="DH95" s="51"/>
      <c r="DI95" s="39"/>
      <c r="DJ95" s="80"/>
      <c r="DK95" s="39"/>
      <c r="DL95" s="39"/>
      <c r="DM95" s="48"/>
      <c r="DN95" s="39"/>
      <c r="DO95" s="39"/>
      <c r="DP95" s="39"/>
      <c r="DQ95" s="39"/>
      <c r="DR95" s="166"/>
      <c r="DS95" s="166"/>
      <c r="DT95" s="39"/>
      <c r="DU95" s="19"/>
      <c r="DV95" s="40"/>
      <c r="DW95" s="40"/>
      <c r="DX95" s="46"/>
      <c r="DY95" s="21"/>
      <c r="DZ95" s="19"/>
      <c r="EA95" s="19"/>
      <c r="EB95" s="19"/>
      <c r="EC95" s="48"/>
      <c r="ED95" s="48"/>
      <c r="EE95" s="22"/>
      <c r="EF95" s="22"/>
      <c r="EG95" s="22">
        <f t="shared" si="404"/>
        <v>0</v>
      </c>
      <c r="EH95" s="22"/>
      <c r="EI95" s="22"/>
      <c r="EJ95" s="22"/>
      <c r="EK95" s="83"/>
      <c r="EL95" s="19"/>
      <c r="EM95" s="19"/>
      <c r="EN95" s="40">
        <f t="shared" si="424"/>
        <v>0</v>
      </c>
      <c r="EO95" s="40">
        <f t="shared" si="425"/>
        <v>0</v>
      </c>
      <c r="EP95" s="40"/>
      <c r="EQ95" s="21">
        <f t="shared" si="426"/>
        <v>0</v>
      </c>
      <c r="ER95" s="21"/>
      <c r="ES95" s="21">
        <f t="shared" si="566"/>
        <v>0</v>
      </c>
      <c r="ET95" s="21"/>
      <c r="EU95" s="19">
        <f t="shared" si="406"/>
        <v>0</v>
      </c>
      <c r="EV95" s="21"/>
      <c r="EW95" s="39"/>
      <c r="EX95" s="39">
        <f t="shared" si="407"/>
        <v>0</v>
      </c>
      <c r="EY95" s="39">
        <f t="shared" si="559"/>
        <v>0</v>
      </c>
      <c r="EZ95" s="39"/>
      <c r="FA95" s="39"/>
      <c r="FB95" s="39"/>
      <c r="FC95" s="39"/>
      <c r="FD95" s="39"/>
      <c r="FE95" s="39"/>
      <c r="FF95" s="39"/>
      <c r="FG95" s="39"/>
      <c r="FH95" s="39"/>
      <c r="FI95" s="39"/>
      <c r="FJ95" s="19">
        <f t="shared" si="427"/>
        <v>0</v>
      </c>
      <c r="FK95" s="19">
        <f t="shared" si="428"/>
        <v>0</v>
      </c>
      <c r="FL95" s="19">
        <f t="shared" si="429"/>
        <v>0</v>
      </c>
      <c r="FM95" s="19"/>
      <c r="FN95" s="19"/>
      <c r="FO95" s="22"/>
      <c r="FP95" s="22"/>
      <c r="FQ95" s="22"/>
      <c r="FR95" s="22"/>
      <c r="FS95" s="22"/>
      <c r="FT95" s="22"/>
      <c r="FU95" s="83"/>
      <c r="FV95" s="19"/>
      <c r="FW95" s="19"/>
      <c r="FX95" s="19"/>
      <c r="FY95" s="19"/>
      <c r="FZ95" s="19"/>
      <c r="GA95" s="19"/>
      <c r="GB95" s="19"/>
      <c r="GC95" s="20"/>
      <c r="GD95" s="20"/>
      <c r="GE95" s="21"/>
      <c r="GF95" s="21"/>
      <c r="GG95" s="21"/>
      <c r="GH95" s="21"/>
      <c r="GI95" s="21"/>
      <c r="GJ95" s="21"/>
      <c r="GK95" s="21"/>
      <c r="GL95" s="21"/>
      <c r="GM95" s="19"/>
      <c r="GN95" s="19"/>
      <c r="GO95" s="22"/>
      <c r="GP95" s="22"/>
      <c r="GQ95" s="22"/>
      <c r="GR95" s="22"/>
      <c r="GS95" s="22"/>
      <c r="GT95" s="22"/>
      <c r="GU95" s="83"/>
      <c r="GV95" s="19"/>
      <c r="GW95" s="19"/>
      <c r="GX95" s="19"/>
      <c r="GY95" s="19"/>
      <c r="GZ95" s="23"/>
      <c r="HA95" s="22"/>
      <c r="HB95" s="22"/>
      <c r="HC95" s="22"/>
      <c r="HD95" s="22"/>
      <c r="HE95" s="22"/>
      <c r="HF95" s="22"/>
      <c r="HG95" s="235"/>
    </row>
    <row r="96" spans="2:215" ht="15.75">
      <c r="B96" s="10"/>
      <c r="C96" s="184" t="s">
        <v>142</v>
      </c>
      <c r="D96" s="143"/>
      <c r="E96" s="143"/>
      <c r="F96" s="74"/>
      <c r="G96" s="74"/>
      <c r="H96" s="74"/>
      <c r="I96" s="143"/>
      <c r="J96" s="75"/>
      <c r="K96" s="75"/>
      <c r="L96" s="75"/>
      <c r="M96" s="191"/>
      <c r="N96" s="191"/>
      <c r="O96" s="74"/>
      <c r="P96" s="74"/>
      <c r="Q96" s="74"/>
      <c r="R96" s="191"/>
      <c r="S96" s="74"/>
      <c r="T96" s="74"/>
      <c r="U96" s="74"/>
      <c r="V96" s="52"/>
      <c r="W96" s="52"/>
      <c r="X96" s="52"/>
      <c r="Y96" s="52"/>
      <c r="Z96" s="22"/>
      <c r="AA96" s="52"/>
      <c r="AB96" s="22"/>
      <c r="AC96" s="52"/>
      <c r="AD96" s="22"/>
      <c r="AE96" s="22"/>
      <c r="AF96" s="22"/>
      <c r="AG96" s="22"/>
      <c r="AH96" s="22"/>
      <c r="AI96" s="22"/>
      <c r="AJ96" s="5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77"/>
      <c r="AW96" s="77"/>
      <c r="AX96" s="78"/>
      <c r="AY96" s="22"/>
      <c r="AZ96" s="22"/>
      <c r="BA96" s="22"/>
      <c r="BB96" s="22"/>
      <c r="BC96" s="22"/>
      <c r="BD96" s="22">
        <v>30.97</v>
      </c>
      <c r="BE96" s="22"/>
      <c r="BF96" s="22"/>
      <c r="BG96" s="22"/>
      <c r="BH96" s="22"/>
      <c r="BI96" s="22"/>
      <c r="BJ96" s="78" t="s">
        <v>245</v>
      </c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19"/>
      <c r="CX96" s="19"/>
      <c r="CY96" s="19"/>
      <c r="CZ96" s="19"/>
      <c r="DA96" s="21"/>
      <c r="DB96" s="21"/>
      <c r="DC96" s="79"/>
      <c r="DD96" s="79"/>
      <c r="DE96" s="79"/>
      <c r="DF96" s="79"/>
      <c r="DG96" s="79"/>
      <c r="DH96" s="51"/>
      <c r="DI96" s="39"/>
      <c r="DJ96" s="80"/>
      <c r="DK96" s="39"/>
      <c r="DL96" s="39"/>
      <c r="DM96" s="48"/>
      <c r="DN96" s="39"/>
      <c r="DO96" s="39"/>
      <c r="DP96" s="39"/>
      <c r="DQ96" s="39"/>
      <c r="DR96" s="166"/>
      <c r="DS96" s="166"/>
      <c r="DT96" s="39"/>
      <c r="DU96" s="19"/>
      <c r="DV96" s="40"/>
      <c r="DW96" s="40"/>
      <c r="DX96" s="46"/>
      <c r="DY96" s="21"/>
      <c r="DZ96" s="19"/>
      <c r="EA96" s="19"/>
      <c r="EB96" s="19"/>
      <c r="EC96" s="48"/>
      <c r="ED96" s="48"/>
      <c r="EE96" s="22">
        <v>30.97</v>
      </c>
      <c r="EF96" s="22">
        <v>32.83</v>
      </c>
      <c r="EG96" s="22">
        <f t="shared" si="404"/>
        <v>106.00581207620277</v>
      </c>
      <c r="EH96" s="22"/>
      <c r="EI96" s="22"/>
      <c r="EJ96" s="22"/>
      <c r="EK96" s="83" t="s">
        <v>246</v>
      </c>
      <c r="EL96" s="19">
        <v>1</v>
      </c>
      <c r="EM96" s="19"/>
      <c r="EN96" s="40">
        <f t="shared" si="424"/>
        <v>0</v>
      </c>
      <c r="EO96" s="40">
        <f t="shared" si="425"/>
        <v>0</v>
      </c>
      <c r="EP96" s="40"/>
      <c r="EQ96" s="21">
        <f t="shared" si="426"/>
        <v>0</v>
      </c>
      <c r="ER96" s="21"/>
      <c r="ES96" s="21">
        <f t="shared" si="566"/>
        <v>30.97</v>
      </c>
      <c r="ET96" s="21"/>
      <c r="EU96" s="19">
        <f t="shared" si="406"/>
        <v>32.83</v>
      </c>
      <c r="EV96" s="21"/>
      <c r="EW96" s="39"/>
      <c r="EX96" s="39">
        <f t="shared" si="407"/>
        <v>0</v>
      </c>
      <c r="EY96" s="39">
        <f t="shared" si="559"/>
        <v>0</v>
      </c>
      <c r="EZ96" s="39"/>
      <c r="FA96" s="39"/>
      <c r="FB96" s="39"/>
      <c r="FC96" s="39"/>
      <c r="FD96" s="39"/>
      <c r="FE96" s="39"/>
      <c r="FF96" s="39"/>
      <c r="FG96" s="39"/>
      <c r="FH96" s="39"/>
      <c r="FI96" s="39"/>
      <c r="FJ96" s="19">
        <f t="shared" si="427"/>
        <v>0</v>
      </c>
      <c r="FK96" s="19">
        <f t="shared" si="428"/>
        <v>0</v>
      </c>
      <c r="FL96" s="19">
        <f t="shared" si="429"/>
        <v>0</v>
      </c>
      <c r="FM96" s="19">
        <v>1</v>
      </c>
      <c r="FN96" s="19"/>
      <c r="FO96" s="22">
        <v>37.380000000000003</v>
      </c>
      <c r="FP96" s="22">
        <v>37.200000000000003</v>
      </c>
      <c r="FQ96" s="22"/>
      <c r="FR96" s="22">
        <v>37.380000000000003</v>
      </c>
      <c r="FS96" s="22">
        <v>37.200000000000003</v>
      </c>
      <c r="FT96" s="22"/>
      <c r="FU96" s="83" t="s">
        <v>660</v>
      </c>
      <c r="FV96" s="19"/>
      <c r="FW96" s="19"/>
      <c r="FX96" s="19"/>
      <c r="FY96" s="19"/>
      <c r="FZ96" s="19"/>
      <c r="GA96" s="19"/>
      <c r="GB96" s="19"/>
      <c r="GC96" s="20"/>
      <c r="GD96" s="20"/>
      <c r="GE96" s="21"/>
      <c r="GF96" s="21"/>
      <c r="GG96" s="21"/>
      <c r="GH96" s="21"/>
      <c r="GI96" s="21"/>
      <c r="GJ96" s="21"/>
      <c r="GK96" s="21"/>
      <c r="GL96" s="21"/>
      <c r="GM96" s="19"/>
      <c r="GN96" s="19"/>
      <c r="GO96" s="22">
        <v>37.200000000000003</v>
      </c>
      <c r="GP96" s="22">
        <v>38.21</v>
      </c>
      <c r="GQ96" s="22"/>
      <c r="GR96" s="22">
        <v>37.200000000000003</v>
      </c>
      <c r="GS96" s="22">
        <v>38.21</v>
      </c>
      <c r="GT96" s="22"/>
      <c r="GU96" s="83" t="s">
        <v>660</v>
      </c>
      <c r="GV96" s="19"/>
      <c r="GW96" s="19"/>
      <c r="GX96" s="19"/>
      <c r="GY96" s="19"/>
      <c r="GZ96" s="23"/>
      <c r="HA96" s="22">
        <v>38.21</v>
      </c>
      <c r="HB96" s="22">
        <v>39.29</v>
      </c>
      <c r="HC96" s="22"/>
      <c r="HD96" s="22">
        <v>38.21</v>
      </c>
      <c r="HE96" s="22">
        <v>39.29</v>
      </c>
      <c r="HF96" s="22"/>
      <c r="HG96" s="235" t="s">
        <v>660</v>
      </c>
    </row>
    <row r="97" spans="2:215" ht="15.75">
      <c r="B97" s="10" t="s">
        <v>247</v>
      </c>
      <c r="C97" s="81" t="s">
        <v>607</v>
      </c>
      <c r="D97" s="82"/>
      <c r="E97" s="73"/>
      <c r="F97" s="74"/>
      <c r="G97" s="74"/>
      <c r="H97" s="74"/>
      <c r="I97" s="75"/>
      <c r="J97" s="73"/>
      <c r="K97" s="73"/>
      <c r="L97" s="75"/>
      <c r="M97" s="82"/>
      <c r="N97" s="75"/>
      <c r="O97" s="74"/>
      <c r="P97" s="74"/>
      <c r="Q97" s="74"/>
      <c r="R97" s="75"/>
      <c r="S97" s="74"/>
      <c r="T97" s="74"/>
      <c r="U97" s="74"/>
      <c r="V97" s="52"/>
      <c r="W97" s="52"/>
      <c r="X97" s="52"/>
      <c r="Y97" s="52"/>
      <c r="Z97" s="22"/>
      <c r="AA97" s="52"/>
      <c r="AB97" s="22"/>
      <c r="AC97" s="52"/>
      <c r="AD97" s="52"/>
      <c r="AE97" s="22"/>
      <c r="AF97" s="52"/>
      <c r="AG97" s="22"/>
      <c r="AH97" s="52"/>
      <c r="AI97" s="52"/>
      <c r="AJ97" s="52"/>
      <c r="AK97" s="52"/>
      <c r="AL97" s="22"/>
      <c r="AM97" s="52"/>
      <c r="AN97" s="22"/>
      <c r="AO97" s="22"/>
      <c r="AP97" s="22"/>
      <c r="AQ97" s="52"/>
      <c r="AR97" s="52"/>
      <c r="AS97" s="22"/>
      <c r="AT97" s="22"/>
      <c r="AU97" s="22"/>
      <c r="AV97" s="77"/>
      <c r="AW97" s="77"/>
      <c r="AX97" s="78"/>
      <c r="AY97" s="22"/>
      <c r="AZ97" s="22"/>
      <c r="BA97" s="22"/>
      <c r="BB97" s="22"/>
      <c r="BC97" s="52"/>
      <c r="BD97" s="52"/>
      <c r="BE97" s="22"/>
      <c r="BF97" s="52"/>
      <c r="BG97" s="52"/>
      <c r="BH97" s="22"/>
      <c r="BI97" s="22"/>
      <c r="BJ97" s="40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19"/>
      <c r="CX97" s="19"/>
      <c r="CY97" s="19"/>
      <c r="CZ97" s="19"/>
      <c r="DA97" s="21"/>
      <c r="DB97" s="21"/>
      <c r="DC97" s="79"/>
      <c r="DD97" s="79"/>
      <c r="DE97" s="79"/>
      <c r="DF97" s="79"/>
      <c r="DG97" s="79"/>
      <c r="DH97" s="51"/>
      <c r="DI97" s="39"/>
      <c r="DJ97" s="80"/>
      <c r="DK97" s="39"/>
      <c r="DL97" s="39"/>
      <c r="DM97" s="48"/>
      <c r="DN97" s="39"/>
      <c r="DO97" s="39"/>
      <c r="DP97" s="39"/>
      <c r="DQ97" s="39"/>
      <c r="DR97" s="39"/>
      <c r="DS97" s="39"/>
      <c r="DT97" s="39"/>
      <c r="DU97" s="19"/>
      <c r="DV97" s="40"/>
      <c r="DW97" s="40"/>
      <c r="DX97" s="21"/>
      <c r="DY97" s="21"/>
      <c r="DZ97" s="19"/>
      <c r="EA97" s="19"/>
      <c r="EB97" s="19"/>
      <c r="EC97" s="48"/>
      <c r="ED97" s="48"/>
      <c r="EE97" s="52"/>
      <c r="EF97" s="52"/>
      <c r="EG97" s="22"/>
      <c r="EH97" s="52"/>
      <c r="EI97" s="52"/>
      <c r="EJ97" s="22"/>
      <c r="EK97" s="40"/>
      <c r="EL97" s="19"/>
      <c r="EM97" s="19"/>
      <c r="EN97" s="40"/>
      <c r="EO97" s="40"/>
      <c r="EP97" s="40"/>
      <c r="EQ97" s="21"/>
      <c r="ER97" s="21"/>
      <c r="ES97" s="19"/>
      <c r="ET97" s="19"/>
      <c r="EU97" s="19"/>
      <c r="EV97" s="21"/>
      <c r="EW97" s="39"/>
      <c r="EX97" s="39"/>
      <c r="EY97" s="39"/>
      <c r="EZ97" s="39"/>
      <c r="FA97" s="39"/>
      <c r="FB97" s="39"/>
      <c r="FC97" s="39"/>
      <c r="FD97" s="39"/>
      <c r="FE97" s="39"/>
      <c r="FF97" s="39"/>
      <c r="FG97" s="39"/>
      <c r="FH97" s="39"/>
      <c r="FI97" s="39"/>
      <c r="FJ97" s="19"/>
      <c r="FK97" s="19"/>
      <c r="FL97" s="19"/>
      <c r="FM97" s="19"/>
      <c r="FN97" s="19"/>
      <c r="FO97" s="52"/>
      <c r="FP97" s="52"/>
      <c r="FQ97" s="22"/>
      <c r="FR97" s="52"/>
      <c r="FS97" s="22"/>
      <c r="FT97" s="22"/>
      <c r="FU97" s="40"/>
      <c r="FV97" s="19"/>
      <c r="FW97" s="19"/>
      <c r="FX97" s="19"/>
      <c r="FY97" s="19"/>
      <c r="FZ97" s="19"/>
      <c r="GA97" s="19"/>
      <c r="GB97" s="19"/>
      <c r="GC97" s="20"/>
      <c r="GD97" s="20"/>
      <c r="GE97" s="19"/>
      <c r="GF97" s="21"/>
      <c r="GG97" s="19"/>
      <c r="GH97" s="19"/>
      <c r="GI97" s="19"/>
      <c r="GJ97" s="21"/>
      <c r="GK97" s="19"/>
      <c r="GL97" s="19"/>
      <c r="GM97" s="19"/>
      <c r="GN97" s="19"/>
      <c r="GO97" s="52"/>
      <c r="GP97" s="52"/>
      <c r="GQ97" s="22"/>
      <c r="GR97" s="22"/>
      <c r="GS97" s="22"/>
      <c r="GT97" s="22"/>
      <c r="GU97" s="43"/>
      <c r="GV97" s="19"/>
      <c r="GW97" s="19"/>
      <c r="GX97" s="19"/>
      <c r="GY97" s="19"/>
      <c r="GZ97" s="19"/>
      <c r="HA97" s="52"/>
      <c r="HB97" s="52"/>
      <c r="HC97" s="22"/>
      <c r="HD97" s="52"/>
      <c r="HE97" s="22"/>
      <c r="HF97" s="22"/>
      <c r="HG97" s="233"/>
    </row>
    <row r="98" spans="2:215" ht="15.75">
      <c r="B98" s="10"/>
      <c r="C98" s="161" t="s">
        <v>153</v>
      </c>
      <c r="D98" s="82"/>
      <c r="E98" s="73"/>
      <c r="F98" s="74"/>
      <c r="G98" s="74"/>
      <c r="H98" s="74"/>
      <c r="I98" s="75"/>
      <c r="J98" s="73"/>
      <c r="K98" s="73"/>
      <c r="L98" s="75"/>
      <c r="M98" s="82"/>
      <c r="N98" s="75"/>
      <c r="O98" s="74"/>
      <c r="P98" s="74"/>
      <c r="Q98" s="74"/>
      <c r="R98" s="75"/>
      <c r="S98" s="74"/>
      <c r="T98" s="74"/>
      <c r="U98" s="74"/>
      <c r="V98" s="52"/>
      <c r="W98" s="52"/>
      <c r="X98" s="52"/>
      <c r="Y98" s="52"/>
      <c r="Z98" s="22"/>
      <c r="AA98" s="52"/>
      <c r="AB98" s="22"/>
      <c r="AC98" s="52"/>
      <c r="AD98" s="52"/>
      <c r="AE98" s="22"/>
      <c r="AF98" s="52"/>
      <c r="AG98" s="22"/>
      <c r="AH98" s="52"/>
      <c r="AI98" s="52"/>
      <c r="AJ98" s="52"/>
      <c r="AK98" s="52"/>
      <c r="AL98" s="22"/>
      <c r="AM98" s="52"/>
      <c r="AN98" s="22"/>
      <c r="AO98" s="22"/>
      <c r="AP98" s="22"/>
      <c r="AQ98" s="52"/>
      <c r="AR98" s="52"/>
      <c r="AS98" s="22"/>
      <c r="AT98" s="22"/>
      <c r="AU98" s="22"/>
      <c r="AV98" s="77"/>
      <c r="AW98" s="77"/>
      <c r="AX98" s="78"/>
      <c r="AY98" s="22"/>
      <c r="AZ98" s="22"/>
      <c r="BA98" s="22"/>
      <c r="BB98" s="22"/>
      <c r="BC98" s="52"/>
      <c r="BD98" s="52"/>
      <c r="BE98" s="22"/>
      <c r="BF98" s="52"/>
      <c r="BG98" s="52"/>
      <c r="BH98" s="22"/>
      <c r="BI98" s="22"/>
      <c r="BJ98" s="40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19"/>
      <c r="CX98" s="19"/>
      <c r="CY98" s="19"/>
      <c r="CZ98" s="19"/>
      <c r="DA98" s="21"/>
      <c r="DB98" s="21"/>
      <c r="DC98" s="79"/>
      <c r="DD98" s="79"/>
      <c r="DE98" s="79"/>
      <c r="DF98" s="79"/>
      <c r="DG98" s="79"/>
      <c r="DH98" s="51"/>
      <c r="DI98" s="39"/>
      <c r="DJ98" s="80"/>
      <c r="DK98" s="39"/>
      <c r="DL98" s="39"/>
      <c r="DM98" s="48"/>
      <c r="DN98" s="39"/>
      <c r="DO98" s="39"/>
      <c r="DP98" s="39"/>
      <c r="DQ98" s="39"/>
      <c r="DR98" s="39"/>
      <c r="DS98" s="39"/>
      <c r="DT98" s="39"/>
      <c r="DU98" s="19"/>
      <c r="DV98" s="40"/>
      <c r="DW98" s="40"/>
      <c r="DX98" s="21"/>
      <c r="DY98" s="21"/>
      <c r="DZ98" s="19"/>
      <c r="EA98" s="19"/>
      <c r="EB98" s="19"/>
      <c r="EC98" s="48"/>
      <c r="ED98" s="48"/>
      <c r="EE98" s="52"/>
      <c r="EF98" s="52"/>
      <c r="EG98" s="22"/>
      <c r="EH98" s="52"/>
      <c r="EI98" s="52"/>
      <c r="EJ98" s="22"/>
      <c r="EK98" s="40"/>
      <c r="EL98" s="19"/>
      <c r="EM98" s="19"/>
      <c r="EN98" s="40"/>
      <c r="EO98" s="40"/>
      <c r="EP98" s="40"/>
      <c r="EQ98" s="21"/>
      <c r="ER98" s="21"/>
      <c r="ES98" s="19"/>
      <c r="ET98" s="19"/>
      <c r="EU98" s="19"/>
      <c r="EV98" s="21"/>
      <c r="EW98" s="39"/>
      <c r="EX98" s="39"/>
      <c r="EY98" s="39"/>
      <c r="EZ98" s="39"/>
      <c r="FA98" s="39"/>
      <c r="FB98" s="39"/>
      <c r="FC98" s="39"/>
      <c r="FD98" s="39"/>
      <c r="FE98" s="39"/>
      <c r="FF98" s="39"/>
      <c r="FG98" s="39"/>
      <c r="FH98" s="39"/>
      <c r="FI98" s="39"/>
      <c r="FJ98" s="19"/>
      <c r="FK98" s="19"/>
      <c r="FL98" s="19"/>
      <c r="FM98" s="19"/>
      <c r="FN98" s="19"/>
      <c r="FO98" s="52">
        <v>9959.61</v>
      </c>
      <c r="FP98" s="52">
        <v>10382.51</v>
      </c>
      <c r="FQ98" s="22"/>
      <c r="FR98" s="52" t="s">
        <v>633</v>
      </c>
      <c r="FS98" s="22" t="s">
        <v>633</v>
      </c>
      <c r="FT98" s="22"/>
      <c r="FU98" s="40" t="s">
        <v>657</v>
      </c>
      <c r="FV98" s="19"/>
      <c r="FW98" s="19"/>
      <c r="FX98" s="19"/>
      <c r="FY98" s="19"/>
      <c r="FZ98" s="19"/>
      <c r="GA98" s="19"/>
      <c r="GB98" s="19"/>
      <c r="GC98" s="20"/>
      <c r="GD98" s="20"/>
      <c r="GE98" s="19"/>
      <c r="GF98" s="21"/>
      <c r="GG98" s="19"/>
      <c r="GH98" s="19"/>
      <c r="GI98" s="19"/>
      <c r="GJ98" s="21"/>
      <c r="GK98" s="19"/>
      <c r="GL98" s="19"/>
      <c r="GM98" s="19"/>
      <c r="GN98" s="19"/>
      <c r="GO98" s="22">
        <v>10382.51</v>
      </c>
      <c r="GP98" s="22">
        <v>10697.6</v>
      </c>
      <c r="GQ98" s="22"/>
      <c r="GR98" s="22" t="s">
        <v>633</v>
      </c>
      <c r="GS98" s="22" t="s">
        <v>633</v>
      </c>
      <c r="GT98" s="22"/>
      <c r="GU98" s="40" t="s">
        <v>657</v>
      </c>
      <c r="GV98" s="19"/>
      <c r="GW98" s="19"/>
      <c r="GX98" s="19"/>
      <c r="GY98" s="19"/>
      <c r="GZ98" s="23"/>
      <c r="HA98" s="22">
        <v>10697.6</v>
      </c>
      <c r="HB98" s="22">
        <v>11037.88</v>
      </c>
      <c r="HC98" s="22"/>
      <c r="HD98" s="52" t="s">
        <v>633</v>
      </c>
      <c r="HE98" s="22" t="s">
        <v>633</v>
      </c>
      <c r="HF98" s="22"/>
      <c r="HG98" s="236" t="s">
        <v>657</v>
      </c>
    </row>
    <row r="99" spans="2:215" ht="15.75">
      <c r="B99" s="15"/>
      <c r="C99" s="81" t="s">
        <v>636</v>
      </c>
      <c r="D99" s="82"/>
      <c r="E99" s="73"/>
      <c r="F99" s="74"/>
      <c r="G99" s="74"/>
      <c r="H99" s="74"/>
      <c r="I99" s="75"/>
      <c r="J99" s="73"/>
      <c r="K99" s="73"/>
      <c r="L99" s="75"/>
      <c r="M99" s="82"/>
      <c r="N99" s="75"/>
      <c r="O99" s="74"/>
      <c r="P99" s="74"/>
      <c r="Q99" s="74"/>
      <c r="R99" s="75"/>
      <c r="S99" s="74"/>
      <c r="T99" s="74"/>
      <c r="U99" s="74"/>
      <c r="V99" s="52"/>
      <c r="W99" s="52"/>
      <c r="X99" s="52"/>
      <c r="Y99" s="52"/>
      <c r="Z99" s="22"/>
      <c r="AA99" s="52"/>
      <c r="AB99" s="22"/>
      <c r="AC99" s="52"/>
      <c r="AD99" s="52"/>
      <c r="AE99" s="22"/>
      <c r="AF99" s="52"/>
      <c r="AG99" s="22"/>
      <c r="AH99" s="52"/>
      <c r="AI99" s="52"/>
      <c r="AJ99" s="52"/>
      <c r="AK99" s="52"/>
      <c r="AL99" s="22"/>
      <c r="AM99" s="52"/>
      <c r="AN99" s="22"/>
      <c r="AO99" s="22"/>
      <c r="AP99" s="22"/>
      <c r="AQ99" s="52"/>
      <c r="AR99" s="52"/>
      <c r="AS99" s="22"/>
      <c r="AT99" s="22"/>
      <c r="AU99" s="22"/>
      <c r="AV99" s="77"/>
      <c r="AW99" s="77"/>
      <c r="AX99" s="78"/>
      <c r="AY99" s="22"/>
      <c r="AZ99" s="22"/>
      <c r="BA99" s="22"/>
      <c r="BB99" s="22"/>
      <c r="BC99" s="52"/>
      <c r="BD99" s="52"/>
      <c r="BE99" s="22"/>
      <c r="BF99" s="52"/>
      <c r="BG99" s="52"/>
      <c r="BH99" s="22"/>
      <c r="BI99" s="22"/>
      <c r="BJ99" s="40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19"/>
      <c r="CX99" s="19"/>
      <c r="CY99" s="19"/>
      <c r="CZ99" s="19"/>
      <c r="DA99" s="21"/>
      <c r="DB99" s="21"/>
      <c r="DC99" s="79"/>
      <c r="DD99" s="79"/>
      <c r="DE99" s="79"/>
      <c r="DF99" s="79"/>
      <c r="DG99" s="79"/>
      <c r="DH99" s="51"/>
      <c r="DI99" s="39"/>
      <c r="DJ99" s="80"/>
      <c r="DK99" s="39"/>
      <c r="DL99" s="39"/>
      <c r="DM99" s="48"/>
      <c r="DN99" s="39"/>
      <c r="DO99" s="39"/>
      <c r="DP99" s="39"/>
      <c r="DQ99" s="39"/>
      <c r="DR99" s="39"/>
      <c r="DS99" s="39"/>
      <c r="DT99" s="39"/>
      <c r="DU99" s="19"/>
      <c r="DV99" s="40"/>
      <c r="DW99" s="40"/>
      <c r="DX99" s="21"/>
      <c r="DY99" s="21"/>
      <c r="DZ99" s="19"/>
      <c r="EA99" s="19"/>
      <c r="EB99" s="19"/>
      <c r="EC99" s="48"/>
      <c r="ED99" s="48"/>
      <c r="EE99" s="52"/>
      <c r="EF99" s="52"/>
      <c r="EG99" s="22"/>
      <c r="EH99" s="52"/>
      <c r="EI99" s="52"/>
      <c r="EJ99" s="22"/>
      <c r="EK99" s="40"/>
      <c r="EL99" s="19"/>
      <c r="EM99" s="19"/>
      <c r="EN99" s="40"/>
      <c r="EO99" s="40"/>
      <c r="EP99" s="40"/>
      <c r="EQ99" s="21"/>
      <c r="ER99" s="21"/>
      <c r="ES99" s="19"/>
      <c r="ET99" s="19"/>
      <c r="EU99" s="19"/>
      <c r="EV99" s="21"/>
      <c r="EW99" s="39"/>
      <c r="EX99" s="39"/>
      <c r="EY99" s="39"/>
      <c r="EZ99" s="39"/>
      <c r="FA99" s="39"/>
      <c r="FB99" s="39"/>
      <c r="FC99" s="39"/>
      <c r="FD99" s="39"/>
      <c r="FE99" s="39"/>
      <c r="FF99" s="39"/>
      <c r="FG99" s="39"/>
      <c r="FH99" s="39"/>
      <c r="FI99" s="39"/>
      <c r="FJ99" s="19"/>
      <c r="FK99" s="19"/>
      <c r="FL99" s="19"/>
      <c r="FM99" s="19"/>
      <c r="FN99" s="19"/>
      <c r="FO99" s="52"/>
      <c r="FP99" s="52"/>
      <c r="FQ99" s="22"/>
      <c r="FR99" s="52"/>
      <c r="FS99" s="22"/>
      <c r="FT99" s="22"/>
      <c r="FU99" s="40"/>
      <c r="FV99" s="19"/>
      <c r="FW99" s="19"/>
      <c r="FX99" s="19"/>
      <c r="FY99" s="19"/>
      <c r="FZ99" s="19"/>
      <c r="GA99" s="19"/>
      <c r="GB99" s="19"/>
      <c r="GC99" s="20"/>
      <c r="GD99" s="20"/>
      <c r="GE99" s="19"/>
      <c r="GF99" s="21"/>
      <c r="GG99" s="19"/>
      <c r="GH99" s="19"/>
      <c r="GI99" s="19"/>
      <c r="GJ99" s="21"/>
      <c r="GK99" s="19"/>
      <c r="GL99" s="19"/>
      <c r="GM99" s="19"/>
      <c r="GN99" s="19"/>
      <c r="GO99" s="22"/>
      <c r="GP99" s="22"/>
      <c r="GQ99" s="22"/>
      <c r="GR99" s="22"/>
      <c r="GS99" s="22"/>
      <c r="GT99" s="22"/>
      <c r="GU99" s="43"/>
      <c r="GV99" s="19"/>
      <c r="GW99" s="19"/>
      <c r="GX99" s="19"/>
      <c r="GY99" s="19"/>
      <c r="GZ99" s="23"/>
      <c r="HA99" s="22"/>
      <c r="HB99" s="22"/>
      <c r="HC99" s="22"/>
      <c r="HD99" s="52"/>
      <c r="HE99" s="22"/>
      <c r="HF99" s="22"/>
      <c r="HG99" s="233"/>
    </row>
    <row r="100" spans="2:215" ht="16.149999999999999" customHeight="1" thickBot="1">
      <c r="B100" s="15"/>
      <c r="C100" s="161" t="s">
        <v>637</v>
      </c>
      <c r="D100" s="173"/>
      <c r="E100" s="173"/>
      <c r="F100" s="74"/>
      <c r="G100" s="74"/>
      <c r="H100" s="74"/>
      <c r="I100" s="173"/>
      <c r="J100" s="173"/>
      <c r="K100" s="173"/>
      <c r="L100" s="173"/>
      <c r="M100" s="173"/>
      <c r="N100" s="173"/>
      <c r="O100" s="76"/>
      <c r="P100" s="76"/>
      <c r="Q100" s="76"/>
      <c r="R100" s="173"/>
      <c r="S100" s="173"/>
      <c r="T100" s="173"/>
      <c r="U100" s="173"/>
      <c r="V100" s="52"/>
      <c r="W100" s="52"/>
      <c r="X100" s="52"/>
      <c r="Y100" s="52"/>
      <c r="Z100" s="22"/>
      <c r="AA100" s="52"/>
      <c r="AB100" s="22"/>
      <c r="AC100" s="22"/>
      <c r="AD100" s="22"/>
      <c r="AE100" s="22"/>
      <c r="AF100" s="22"/>
      <c r="AG100" s="22"/>
      <c r="AH100" s="22"/>
      <c r="AI100" s="22"/>
      <c r="AJ100" s="5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77"/>
      <c r="AW100" s="77"/>
      <c r="AX100" s="78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40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19"/>
      <c r="CX100" s="19"/>
      <c r="CY100" s="19"/>
      <c r="CZ100" s="19"/>
      <c r="DA100" s="21"/>
      <c r="DB100" s="21"/>
      <c r="DC100" s="79"/>
      <c r="DD100" s="79"/>
      <c r="DE100" s="79"/>
      <c r="DF100" s="79"/>
      <c r="DG100" s="79"/>
      <c r="DH100" s="51"/>
      <c r="DI100" s="39"/>
      <c r="DJ100" s="80"/>
      <c r="DK100" s="39"/>
      <c r="DL100" s="39"/>
      <c r="DM100" s="48"/>
      <c r="DN100" s="39"/>
      <c r="DO100" s="39"/>
      <c r="DP100" s="39"/>
      <c r="DQ100" s="39"/>
      <c r="DR100" s="39"/>
      <c r="DS100" s="39"/>
      <c r="DT100" s="39"/>
      <c r="DU100" s="19"/>
      <c r="DV100" s="40"/>
      <c r="DW100" s="40"/>
      <c r="DX100" s="21"/>
      <c r="DY100" s="21"/>
      <c r="DZ100" s="19"/>
      <c r="EA100" s="19"/>
      <c r="EB100" s="19"/>
      <c r="EC100" s="48"/>
      <c r="ED100" s="48"/>
      <c r="EE100" s="22"/>
      <c r="EF100" s="22"/>
      <c r="EG100" s="22"/>
      <c r="EH100" s="22"/>
      <c r="EI100" s="22"/>
      <c r="EJ100" s="22"/>
      <c r="EK100" s="83"/>
      <c r="EL100" s="19"/>
      <c r="EM100" s="19"/>
      <c r="EN100" s="146"/>
      <c r="EO100" s="146"/>
      <c r="EP100" s="146"/>
      <c r="EQ100" s="21"/>
      <c r="ER100" s="21"/>
      <c r="ES100" s="19"/>
      <c r="ET100" s="19"/>
      <c r="EU100" s="19"/>
      <c r="EV100" s="21"/>
      <c r="EW100" s="39"/>
      <c r="EX100" s="39"/>
      <c r="EY100" s="39"/>
      <c r="EZ100" s="39"/>
      <c r="FA100" s="39"/>
      <c r="FB100" s="39"/>
      <c r="FC100" s="39"/>
      <c r="FD100" s="39"/>
      <c r="FE100" s="39"/>
      <c r="FF100" s="39"/>
      <c r="FG100" s="39"/>
      <c r="FH100" s="39"/>
      <c r="FI100" s="39"/>
      <c r="FJ100" s="19"/>
      <c r="FK100" s="19"/>
      <c r="FL100" s="19"/>
      <c r="FM100" s="19"/>
      <c r="FN100" s="19"/>
      <c r="FO100" s="22">
        <v>305.55</v>
      </c>
      <c r="FP100" s="22">
        <v>312.07</v>
      </c>
      <c r="FQ100" s="22"/>
      <c r="FR100" s="22">
        <v>305.55</v>
      </c>
      <c r="FS100" s="22">
        <v>312.07</v>
      </c>
      <c r="FT100" s="22"/>
      <c r="FU100" s="83" t="s">
        <v>626</v>
      </c>
      <c r="FV100" s="19"/>
      <c r="FW100" s="19"/>
      <c r="FX100" s="19"/>
      <c r="FY100" s="19"/>
      <c r="FZ100" s="19"/>
      <c r="GA100" s="19"/>
      <c r="GB100" s="19"/>
      <c r="GC100" s="20"/>
      <c r="GD100" s="20"/>
      <c r="GE100" s="21"/>
      <c r="GF100" s="21"/>
      <c r="GG100" s="19"/>
      <c r="GH100" s="19"/>
      <c r="GI100" s="19"/>
      <c r="GJ100" s="21"/>
      <c r="GK100" s="19"/>
      <c r="GL100" s="19"/>
      <c r="GM100" s="19"/>
      <c r="GN100" s="19"/>
      <c r="GO100" s="57">
        <v>312.07</v>
      </c>
      <c r="GP100" s="57">
        <v>345.14</v>
      </c>
      <c r="GQ100" s="57"/>
      <c r="GR100" s="57">
        <v>312.07</v>
      </c>
      <c r="GS100" s="57">
        <v>345.14</v>
      </c>
      <c r="GT100" s="57"/>
      <c r="GU100" s="83" t="s">
        <v>626</v>
      </c>
      <c r="GV100" s="19"/>
      <c r="GW100" s="19"/>
      <c r="GX100" s="19"/>
      <c r="GY100" s="19"/>
      <c r="GZ100" s="23"/>
      <c r="HA100" s="22">
        <v>345.14</v>
      </c>
      <c r="HB100" s="22">
        <v>361.22</v>
      </c>
      <c r="HC100" s="22"/>
      <c r="HD100" s="22">
        <v>345.14</v>
      </c>
      <c r="HE100" s="22">
        <v>361.22</v>
      </c>
      <c r="HF100" s="22"/>
      <c r="HG100" s="235" t="s">
        <v>626</v>
      </c>
    </row>
    <row r="101" spans="2:215" ht="16.5" thickBot="1">
      <c r="B101" s="12" t="s">
        <v>118</v>
      </c>
      <c r="C101" s="80" t="s">
        <v>248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>
        <f t="shared" ref="X101:X110" si="567">+IF(V101=0,,W101/V101*100)</f>
        <v>0</v>
      </c>
      <c r="Y101" s="80"/>
      <c r="Z101" s="80">
        <f t="shared" ref="Z101:Z156" si="568">+IF(W101=0,,Y101/W101*100)</f>
        <v>0</v>
      </c>
      <c r="AA101" s="80"/>
      <c r="AB101" s="80">
        <f t="shared" ref="AB101:AB156" si="569">+IF(Y101=0,,AA101/Y101*100)</f>
        <v>0</v>
      </c>
      <c r="AC101" s="80"/>
      <c r="AD101" s="80"/>
      <c r="AE101" s="80">
        <f t="shared" ref="AE101" si="570">+IF(AC101=0,,AF101/AC101*100)</f>
        <v>0</v>
      </c>
      <c r="AF101" s="80"/>
      <c r="AG101" s="80">
        <f>+IF(AC101=0,,AF101/AC101*100)</f>
        <v>0</v>
      </c>
      <c r="AH101" s="80"/>
      <c r="AI101" s="80"/>
      <c r="AJ101" s="80">
        <f t="shared" ref="AJ101:AJ156" si="571">+IF(AH101=0,,AI101/AH101*100)</f>
        <v>0</v>
      </c>
      <c r="AK101" s="80"/>
      <c r="AL101" s="80">
        <f t="shared" ref="AL101:AL156" si="572">+IF(AI101=0,,AK101/AI101*100)</f>
        <v>0</v>
      </c>
      <c r="AM101" s="80"/>
      <c r="AN101" s="80">
        <f t="shared" ref="AN101:AN156" si="573">+IF(AK101=0,,AM101/AK101*100)</f>
        <v>0</v>
      </c>
      <c r="AO101" s="80">
        <f t="shared" ref="AO101:AO110" si="574">+IF(V101=0,,AA101/V101*100)</f>
        <v>0</v>
      </c>
      <c r="AP101" s="80">
        <f t="shared" ref="AP101:AP156" si="575">+IF(AH101=0,,AM101/AH101*100)</f>
        <v>0</v>
      </c>
      <c r="AQ101" s="80"/>
      <c r="AR101" s="80"/>
      <c r="AS101" s="80">
        <f t="shared" ref="AS101" si="576">+IF(AQ101=0,,AT101/AQ101*100)</f>
        <v>0</v>
      </c>
      <c r="AT101" s="80"/>
      <c r="AU101" s="80">
        <f>+IF(AQ101=0,,AT101/AQ101*100)</f>
        <v>0</v>
      </c>
      <c r="AV101" s="77"/>
      <c r="AW101" s="77">
        <f>+CY101/$CY$101*100</f>
        <v>100</v>
      </c>
      <c r="AX101" s="78"/>
      <c r="AY101" s="80">
        <f t="shared" ref="AY101:AY138" si="577">+AZ101+BA101+BB101</f>
        <v>0</v>
      </c>
      <c r="AZ101" s="80"/>
      <c r="BA101" s="80"/>
      <c r="BB101" s="80"/>
      <c r="BC101" s="80"/>
      <c r="BD101" s="80"/>
      <c r="BE101" s="22">
        <f t="shared" si="416"/>
        <v>0</v>
      </c>
      <c r="BF101" s="80"/>
      <c r="BG101" s="80"/>
      <c r="BH101" s="22">
        <f t="shared" si="417"/>
        <v>0</v>
      </c>
      <c r="BI101" s="22"/>
      <c r="BJ101" s="40"/>
      <c r="BK101" s="80">
        <f t="shared" ref="BK101:BK138" si="578">+BL101+BM101+BN101</f>
        <v>0</v>
      </c>
      <c r="BL101" s="80">
        <f t="shared" ref="BL101:BL156" si="579">+E101*AI101/1.18/1000</f>
        <v>0</v>
      </c>
      <c r="BM101" s="80">
        <f t="shared" ref="BM101:BM156" si="580">+(W101-ROUND(AI101/1.18,2))*E101/1000</f>
        <v>0</v>
      </c>
      <c r="BN101" s="80">
        <f t="shared" ref="BN101:BN156" si="581">+W101*I101/1000</f>
        <v>0</v>
      </c>
      <c r="BO101" s="80">
        <f t="shared" ref="BO101:BO138" si="582">+BP101+BQ101+BR101</f>
        <v>0</v>
      </c>
      <c r="BP101" s="80">
        <f t="shared" ref="BP101:BP156" si="583">+AK101/1.18*E101/1000</f>
        <v>0</v>
      </c>
      <c r="BQ101" s="80">
        <f t="shared" ref="BQ101:BQ138" si="584">+(Y101-ROUND(AK101/1.18,2))*E101/1000</f>
        <v>0</v>
      </c>
      <c r="BR101" s="80">
        <f t="shared" ref="BR101:BR156" si="585">+Y101*I101/1000</f>
        <v>0</v>
      </c>
      <c r="BS101" s="80">
        <f t="shared" ref="BS101:BS138" si="586">+BT101+BV101+BU101</f>
        <v>0</v>
      </c>
      <c r="BT101" s="80">
        <f t="shared" ref="BT101:BT156" si="587">+AM101/1.18*E101/1000</f>
        <v>0</v>
      </c>
      <c r="BU101" s="80">
        <f t="shared" ref="BU101:BU138" si="588">+(AA101-ROUND(AM101/1.18,2))*E101/1000</f>
        <v>0</v>
      </c>
      <c r="BV101" s="80">
        <f t="shared" ref="BV101:BV156" si="589">+AA101*I101/1000</f>
        <v>0</v>
      </c>
      <c r="BW101" s="80"/>
      <c r="BX101" s="48">
        <f>+SUM(BX102:BX114)</f>
        <v>1301.6013559322037</v>
      </c>
      <c r="BY101" s="48">
        <f>+SUM(BY102:BY114)</f>
        <v>0</v>
      </c>
      <c r="BZ101" s="80">
        <f>+AC101*R101/1000</f>
        <v>0</v>
      </c>
      <c r="CA101" s="80"/>
      <c r="CB101" s="48">
        <f>+SUM(CB102:CB114)</f>
        <v>1396.1654237288137</v>
      </c>
      <c r="CC101" s="48">
        <f>+SUM(CC102:CC114)</f>
        <v>0</v>
      </c>
      <c r="CD101" s="80">
        <f t="shared" ref="CD101:CD126" si="590">+AF101*R101/1000</f>
        <v>0</v>
      </c>
      <c r="CE101" s="80">
        <f t="shared" ref="CE101" si="591">+IF(R101=0,,BN101/R101*1000)</f>
        <v>0</v>
      </c>
      <c r="CF101" s="80">
        <f t="shared" ref="CF101" si="592">+IF(I101=0,,BR101/I101*1000)</f>
        <v>0</v>
      </c>
      <c r="CG101" s="80">
        <f t="shared" ref="CG101" si="593">+IF(I101=0,,BV101/I101*1000)</f>
        <v>0</v>
      </c>
      <c r="CH101" s="80">
        <f t="shared" ref="CH101" si="594">+IF(E101=0,,BL101/E101*1000*1.18)</f>
        <v>0</v>
      </c>
      <c r="CI101" s="80">
        <f t="shared" ref="CI101" si="595">+IF(E101=0,,BP101/E101*1.18*1000)</f>
        <v>0</v>
      </c>
      <c r="CJ101" s="80">
        <f t="shared" ref="CJ101" si="596">+IF(E101=0,,BT101/E101*1.18*1000)</f>
        <v>0</v>
      </c>
      <c r="CK101" s="80">
        <f t="shared" ref="CK101" si="597">+IF(D101=0,,BK101/D101*1000)</f>
        <v>0</v>
      </c>
      <c r="CL101" s="80">
        <f t="shared" ref="CL101" si="598">+IF(D101=0,,BO101/D101*1000)</f>
        <v>0</v>
      </c>
      <c r="CM101" s="80">
        <f t="shared" ref="CM101" si="599">+IF(D101=0,,BS101/D101*1000)</f>
        <v>0</v>
      </c>
      <c r="CN101" s="80">
        <f t="shared" ref="CN101" si="600">+IF((D101+D101+D101)=0,,(BK101+BO101+BS101)/(D101+D101+D101))*1000</f>
        <v>0</v>
      </c>
      <c r="CO101" s="80">
        <f t="shared" ref="CO101" si="601">+IF(R101=0,,BZ101/R101*1000)</f>
        <v>0</v>
      </c>
      <c r="CP101" s="80">
        <f t="shared" ref="CP101" si="602">+IF(R101=0,,CD101/R101*1000)</f>
        <v>0</v>
      </c>
      <c r="CQ101" s="80">
        <f t="shared" ref="CQ101" si="603">+IF(N101=0,,BX101/N101*1.18*1000)</f>
        <v>0</v>
      </c>
      <c r="CR101" s="80">
        <f t="shared" ref="CR101" si="604">+IF(N101=0,,CB101/N101*1.18*1000)</f>
        <v>0</v>
      </c>
      <c r="CS101" s="80">
        <f t="shared" ref="CS101" si="605">+IF(M101=0,,BW101/M101*1000)</f>
        <v>0</v>
      </c>
      <c r="CT101" s="80">
        <f t="shared" ref="CT101" si="606">+IF(M101=0,,CA101/M101*1000)</f>
        <v>0</v>
      </c>
      <c r="CU101" s="80">
        <f t="shared" ref="CU101" si="607">+IF((M101+M101)=0,,(CA101+BW101)/(M101+M101))*1000</f>
        <v>0</v>
      </c>
      <c r="CV101" s="80">
        <f t="shared" ref="CV101:CV138" si="608">+IF(CN101=0,,CU101/CN101*100)</f>
        <v>0</v>
      </c>
      <c r="CW101" s="48" t="e">
        <f>+SUM(CW102:CW114)</f>
        <v>#REF!</v>
      </c>
      <c r="CX101" s="48" t="e">
        <f>+SUM(CX102:CX114)</f>
        <v>#REF!</v>
      </c>
      <c r="CY101" s="48">
        <f>+SUM(CY102:CY114)</f>
        <v>1348.8833898305086</v>
      </c>
      <c r="CZ101" s="48">
        <f>+SUM(CZ102:CZ114)</f>
        <v>1348.893</v>
      </c>
      <c r="DA101" s="20" t="e">
        <f t="shared" ref="DA101:DA138" si="609">+IF(CX101=0,,CW101/CX101*100)</f>
        <v>#REF!</v>
      </c>
      <c r="DB101" s="20">
        <f t="shared" ref="DB101:DB138" si="610">+IF(CZ101=0,,CY101/CZ101*100)</f>
        <v>99.999287551385365</v>
      </c>
      <c r="DC101" s="20" t="e">
        <f t="shared" ref="DC101:DD138" si="611">+IF(CW101=0,,CY101/CW101*100)</f>
        <v>#REF!</v>
      </c>
      <c r="DD101" s="20" t="e">
        <f t="shared" si="611"/>
        <v>#REF!</v>
      </c>
      <c r="DE101" s="79">
        <f t="shared" ref="DE101:DF101" si="612">+(O101+S101)*AC101/1000</f>
        <v>0</v>
      </c>
      <c r="DF101" s="79">
        <f t="shared" si="612"/>
        <v>0</v>
      </c>
      <c r="DG101" s="79">
        <f t="shared" ref="DG101" si="613">+AF101*(Q101+U101)/1000</f>
        <v>0</v>
      </c>
      <c r="DH101" s="51">
        <f t="shared" ref="DH101:DH138" si="614">+DE101+DF101+DG101</f>
        <v>0</v>
      </c>
      <c r="DI101" s="39"/>
      <c r="DJ101" s="80">
        <f t="shared" ref="DJ101" si="615">+(F101+J101)*W101/1000</f>
        <v>0</v>
      </c>
      <c r="DK101" s="39">
        <f t="shared" ref="DK101" si="616">+Y101*(G101+K101)/1000</f>
        <v>0</v>
      </c>
      <c r="DL101" s="39">
        <f t="shared" ref="DL101" si="617">+(H101+L101)*AA101/1000</f>
        <v>0</v>
      </c>
      <c r="DM101" s="48">
        <f>+AT101-'[2]тарифы (12-13) население 15%'!AP151</f>
        <v>0</v>
      </c>
      <c r="DN101" s="39"/>
      <c r="DO101" s="39"/>
      <c r="DP101" s="39"/>
      <c r="DQ101" s="39"/>
      <c r="DR101" s="39"/>
      <c r="DS101" s="39"/>
      <c r="DT101" s="39"/>
      <c r="DU101" s="19">
        <f t="shared" si="444"/>
        <v>0</v>
      </c>
      <c r="DV101" s="42">
        <f>+SUM(DV102:DV114)</f>
        <v>17842.924046566393</v>
      </c>
      <c r="DW101" s="42">
        <f>+SUM(DW102:DW114)</f>
        <v>30931.490383130586</v>
      </c>
      <c r="DX101" s="42">
        <f>+'[1]тарифы (НВВ) население на 4,2%'!CO157</f>
        <v>64.220494871865839</v>
      </c>
      <c r="DY101" s="42">
        <f t="shared" ref="DY101:DY138" si="618">+IF(DW101=0,,DV101/DW101*100)</f>
        <v>57.685303312437753</v>
      </c>
      <c r="DZ101" s="19">
        <f t="shared" ref="DZ101:DZ138" si="619">+BC101*AY101/1000</f>
        <v>0</v>
      </c>
      <c r="EA101" s="19">
        <f t="shared" ref="EA101:EA138" si="620">+BD101*AY101/1000</f>
        <v>0</v>
      </c>
      <c r="EB101" s="19"/>
      <c r="EC101" s="22">
        <f>+SUM(EC102:EC114)</f>
        <v>12920.426408508472</v>
      </c>
      <c r="ED101" s="22">
        <f>+SUM(ED102:ED114)</f>
        <v>12964.483993261016</v>
      </c>
      <c r="EE101" s="80"/>
      <c r="EF101" s="80"/>
      <c r="EG101" s="22">
        <f t="shared" ref="EG101:EG138" si="621">+IF(EE101=0,,EF101/EE101*100)</f>
        <v>0</v>
      </c>
      <c r="EH101" s="80"/>
      <c r="EI101" s="80"/>
      <c r="EJ101" s="22">
        <f t="shared" ref="EJ101:EJ138" si="622">+IF(EH101=0,,EI101/EH101*100)</f>
        <v>0</v>
      </c>
      <c r="EK101" s="40"/>
      <c r="EL101" s="40"/>
      <c r="EM101" s="40"/>
      <c r="EN101" s="146">
        <f>+SUM(EN102:EN114)</f>
        <v>19110.876436271188</v>
      </c>
      <c r="EO101" s="146">
        <f>+SUM(EO102:EO114)</f>
        <v>32710.499515899999</v>
      </c>
      <c r="EP101" s="146" t="e">
        <f>+$EN$442/$EN$445*EN101</f>
        <v>#REF!</v>
      </c>
      <c r="EQ101" s="42">
        <f t="shared" ref="EQ101:EQ138" si="623">+IF(EO101=0,,EN101/EO101*100)</f>
        <v>58.42428797818183</v>
      </c>
      <c r="ER101" s="42" t="e">
        <f>+IF((EN101+EP101)=0,,(EN101+EP101)/(EO101+EP101))*100</f>
        <v>#REF!</v>
      </c>
      <c r="ES101" s="42"/>
      <c r="ET101" s="42"/>
      <c r="EU101" s="19">
        <f t="shared" ref="EU101:EU138" si="624">+EF101*EL101</f>
        <v>0</v>
      </c>
      <c r="EV101" s="42"/>
      <c r="EW101" s="39"/>
      <c r="EX101" s="39">
        <f t="shared" ref="EX101:EX133" si="625">+BD101*AY101</f>
        <v>0</v>
      </c>
      <c r="EY101" s="39">
        <f t="shared" si="559"/>
        <v>0</v>
      </c>
      <c r="EZ101" s="39"/>
      <c r="FA101" s="39"/>
      <c r="FB101" s="39"/>
      <c r="FC101" s="39"/>
      <c r="FD101" s="39"/>
      <c r="FE101" s="39"/>
      <c r="FF101" s="39"/>
      <c r="FG101" s="39"/>
      <c r="FH101" s="39"/>
      <c r="FI101" s="39"/>
      <c r="FJ101" s="41">
        <f>+SUM(FJ103:FJ114)</f>
        <v>13043.205864128815</v>
      </c>
      <c r="FK101" s="41">
        <f>+SUM(FK103:FK114)</f>
        <v>13599.596171154237</v>
      </c>
      <c r="FL101" s="41">
        <f t="shared" ref="FL101:FL138" si="626">+FJ101+FK101</f>
        <v>26642.80203528305</v>
      </c>
      <c r="FM101" s="40"/>
      <c r="FN101" s="40"/>
      <c r="FO101" s="80">
        <f t="shared" ref="FO101:FO127" si="627">+EF101</f>
        <v>0</v>
      </c>
      <c r="FP101" s="80"/>
      <c r="FQ101" s="22"/>
      <c r="FR101" s="80">
        <f t="shared" ref="FR101:FR138" si="628">+EI101</f>
        <v>0</v>
      </c>
      <c r="FS101" s="80"/>
      <c r="FT101" s="22"/>
      <c r="FU101" s="40"/>
      <c r="FV101" s="41">
        <f t="shared" ref="FV101:GB101" si="629">+SUM(FV103:FV114)</f>
        <v>0</v>
      </c>
      <c r="FW101" s="41">
        <f t="shared" si="629"/>
        <v>0</v>
      </c>
      <c r="FX101" s="41">
        <f t="shared" si="629"/>
        <v>0</v>
      </c>
      <c r="FY101" s="41">
        <f t="shared" si="629"/>
        <v>0</v>
      </c>
      <c r="FZ101" s="41">
        <f t="shared" si="629"/>
        <v>0</v>
      </c>
      <c r="GA101" s="41">
        <f t="shared" si="629"/>
        <v>0</v>
      </c>
      <c r="GB101" s="41">
        <f t="shared" si="629"/>
        <v>0</v>
      </c>
      <c r="GC101" s="20">
        <f t="shared" ref="GC101:GC127" si="630">+IF(FZ101=0,,FY101/FZ101*100)</f>
        <v>0</v>
      </c>
      <c r="GD101" s="20">
        <f t="shared" si="562"/>
        <v>0</v>
      </c>
      <c r="GE101" s="42"/>
      <c r="GF101" s="42"/>
      <c r="GG101" s="42"/>
      <c r="GH101" s="42"/>
      <c r="GI101" s="42"/>
      <c r="GJ101" s="42"/>
      <c r="GK101" s="42"/>
      <c r="GL101" s="42"/>
      <c r="GM101" s="40"/>
      <c r="GN101" s="40"/>
      <c r="GO101" s="80"/>
      <c r="GP101" s="80"/>
      <c r="GQ101" s="22"/>
      <c r="GR101" s="80"/>
      <c r="GS101" s="80"/>
      <c r="GT101" s="22"/>
      <c r="GU101" s="43"/>
      <c r="GV101" s="41"/>
      <c r="GW101" s="41"/>
      <c r="GX101" s="41">
        <f>+SUM(GX102:GX114)</f>
        <v>0</v>
      </c>
      <c r="GY101" s="41">
        <f>+SUM(GY102:GY114)</f>
        <v>0</v>
      </c>
      <c r="GZ101" s="44">
        <f t="shared" ref="GZ101" si="631">+IF(GY101=0,,GX101/GY101*100)</f>
        <v>0</v>
      </c>
      <c r="HA101" s="80"/>
      <c r="HB101" s="80"/>
      <c r="HC101" s="22"/>
      <c r="HD101" s="80"/>
      <c r="HE101" s="80"/>
      <c r="HF101" s="22"/>
      <c r="HG101" s="233"/>
    </row>
    <row r="102" spans="2:215" ht="15.75">
      <c r="B102" s="10" t="s">
        <v>250</v>
      </c>
      <c r="C102" s="81" t="s">
        <v>152</v>
      </c>
      <c r="D102" s="73"/>
      <c r="E102" s="73"/>
      <c r="F102" s="74"/>
      <c r="G102" s="74"/>
      <c r="H102" s="74"/>
      <c r="I102" s="73"/>
      <c r="J102" s="75"/>
      <c r="K102" s="75"/>
      <c r="L102" s="75"/>
      <c r="M102" s="143"/>
      <c r="N102" s="191"/>
      <c r="O102" s="74"/>
      <c r="P102" s="74"/>
      <c r="Q102" s="74"/>
      <c r="R102" s="191"/>
      <c r="S102" s="74"/>
      <c r="T102" s="74"/>
      <c r="U102" s="74"/>
      <c r="V102" s="52"/>
      <c r="W102" s="52"/>
      <c r="X102" s="52"/>
      <c r="Y102" s="52"/>
      <c r="Z102" s="22"/>
      <c r="AA102" s="52"/>
      <c r="AB102" s="22"/>
      <c r="AC102" s="52"/>
      <c r="AD102" s="22"/>
      <c r="AE102" s="22"/>
      <c r="AF102" s="22"/>
      <c r="AG102" s="22">
        <f t="shared" ref="AG102:AG112" si="632">+IF(AD102=0,,AF102/AD102*100)</f>
        <v>0</v>
      </c>
      <c r="AH102" s="52"/>
      <c r="AI102" s="52"/>
      <c r="AJ102" s="52"/>
      <c r="AK102" s="52"/>
      <c r="AL102" s="22"/>
      <c r="AM102" s="52"/>
      <c r="AN102" s="22"/>
      <c r="AO102" s="22"/>
      <c r="AP102" s="22"/>
      <c r="AQ102" s="22"/>
      <c r="AR102" s="22"/>
      <c r="AS102" s="22"/>
      <c r="AT102" s="22"/>
      <c r="AU102" s="22">
        <f t="shared" ref="AU102:AU112" si="633">+IF(AR102=0,,AT102/AR102*100)</f>
        <v>0</v>
      </c>
      <c r="AV102" s="77"/>
      <c r="AW102" s="77"/>
      <c r="AX102" s="78"/>
      <c r="AY102" s="22">
        <f t="shared" si="577"/>
        <v>0</v>
      </c>
      <c r="AZ102" s="22"/>
      <c r="BA102" s="22"/>
      <c r="BB102" s="22"/>
      <c r="BC102" s="22"/>
      <c r="BD102" s="22"/>
      <c r="BE102" s="22">
        <f t="shared" ref="BE102:BE138" si="634">+IF(BC102=0,,BD102/BC102*100)</f>
        <v>0</v>
      </c>
      <c r="BF102" s="22"/>
      <c r="BG102" s="22"/>
      <c r="BH102" s="22">
        <f t="shared" ref="BH102:BH138" si="635">+IF(BF102=0,,BG102/BF102*100)</f>
        <v>0</v>
      </c>
      <c r="BI102" s="22"/>
      <c r="BJ102" s="40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19"/>
      <c r="CX102" s="19"/>
      <c r="CY102" s="19"/>
      <c r="CZ102" s="19"/>
      <c r="DA102" s="21"/>
      <c r="DB102" s="21"/>
      <c r="DC102" s="79"/>
      <c r="DD102" s="79"/>
      <c r="DE102" s="79"/>
      <c r="DF102" s="79"/>
      <c r="DG102" s="79"/>
      <c r="DH102" s="51"/>
      <c r="DI102" s="39"/>
      <c r="DJ102" s="80"/>
      <c r="DK102" s="39"/>
      <c r="DL102" s="39"/>
      <c r="DM102" s="48"/>
      <c r="DN102" s="39"/>
      <c r="DO102" s="39"/>
      <c r="DP102" s="39"/>
      <c r="DQ102" s="39"/>
      <c r="DR102" s="39"/>
      <c r="DS102" s="39"/>
      <c r="DT102" s="39"/>
      <c r="DU102" s="19">
        <f t="shared" ref="DU102:DU138" si="636">+(BF102*AZ102)/1.18</f>
        <v>0</v>
      </c>
      <c r="DV102" s="40">
        <f t="shared" ref="DV102:DV133" si="637">+(BG102*AZ102)/1.18</f>
        <v>0</v>
      </c>
      <c r="DW102" s="40">
        <f t="shared" ref="DW102:DW133" si="638">+BD102*AZ102</f>
        <v>0</v>
      </c>
      <c r="DX102" s="46"/>
      <c r="DY102" s="21">
        <f t="shared" si="618"/>
        <v>0</v>
      </c>
      <c r="DZ102" s="19">
        <f t="shared" si="619"/>
        <v>0</v>
      </c>
      <c r="EA102" s="19">
        <f t="shared" si="620"/>
        <v>0</v>
      </c>
      <c r="EB102" s="19"/>
      <c r="EC102" s="48">
        <f t="shared" ref="EC102:EC112" si="639">+(BC102-BF102/1.18)*AZ102/2</f>
        <v>0</v>
      </c>
      <c r="ED102" s="48">
        <f t="shared" ref="ED102:ED112" si="640">+(BD102-BG102/1.18)*AZ102/2</f>
        <v>0</v>
      </c>
      <c r="EE102" s="22"/>
      <c r="EF102" s="22"/>
      <c r="EG102" s="22">
        <f t="shared" si="621"/>
        <v>0</v>
      </c>
      <c r="EH102" s="22"/>
      <c r="EI102" s="22"/>
      <c r="EJ102" s="22">
        <f t="shared" si="622"/>
        <v>0</v>
      </c>
      <c r="EK102" s="40"/>
      <c r="EL102" s="19"/>
      <c r="EM102" s="19"/>
      <c r="EN102" s="40">
        <f t="shared" ref="EN102:EN133" si="641">+(EI102*EM102)/1.18</f>
        <v>0</v>
      </c>
      <c r="EO102" s="40">
        <f t="shared" ref="EO102:EO133" si="642">+EF102*EM102</f>
        <v>0</v>
      </c>
      <c r="EP102" s="40"/>
      <c r="EQ102" s="21">
        <f t="shared" si="623"/>
        <v>0</v>
      </c>
      <c r="ER102" s="21"/>
      <c r="ES102" s="21"/>
      <c r="ET102" s="21"/>
      <c r="EU102" s="19">
        <f t="shared" si="624"/>
        <v>0</v>
      </c>
      <c r="EV102" s="21"/>
      <c r="EW102" s="39"/>
      <c r="EX102" s="39">
        <f t="shared" si="625"/>
        <v>0</v>
      </c>
      <c r="EY102" s="39">
        <f t="shared" si="559"/>
        <v>0</v>
      </c>
      <c r="EZ102" s="39"/>
      <c r="FA102" s="39"/>
      <c r="FB102" s="39"/>
      <c r="FC102" s="39"/>
      <c r="FD102" s="39"/>
      <c r="FE102" s="39"/>
      <c r="FF102" s="39"/>
      <c r="FG102" s="39"/>
      <c r="FH102" s="39"/>
      <c r="FI102" s="39"/>
      <c r="FJ102" s="19">
        <f t="shared" ref="FJ102:FJ133" si="643">+(EE102-EH102/1.18)*EM102</f>
        <v>0</v>
      </c>
      <c r="FK102" s="19">
        <f t="shared" ref="FK102:FK133" si="644">+(EF102-EI102/1.18)*EM102</f>
        <v>0</v>
      </c>
      <c r="FL102" s="19">
        <f t="shared" si="626"/>
        <v>0</v>
      </c>
      <c r="FM102" s="19"/>
      <c r="FN102" s="19"/>
      <c r="FO102" s="22">
        <f t="shared" si="627"/>
        <v>0</v>
      </c>
      <c r="FP102" s="22"/>
      <c r="FQ102" s="22"/>
      <c r="FR102" s="22">
        <f t="shared" si="628"/>
        <v>0</v>
      </c>
      <c r="FS102" s="22"/>
      <c r="FT102" s="22"/>
      <c r="FU102" s="40"/>
      <c r="FV102" s="19">
        <f>+(FO102-FR102/1.18)*FN102</f>
        <v>0</v>
      </c>
      <c r="FW102" s="19">
        <f t="shared" ref="FW102" si="645">+(FP102-FS102/1.18)*FN102</f>
        <v>0</v>
      </c>
      <c r="FX102" s="19">
        <f t="shared" ref="FX102:FX127" si="646">+(FW102/2)-FV102/2</f>
        <v>0</v>
      </c>
      <c r="FY102" s="19">
        <f t="shared" ref="FY102:FY127" si="647">+(FR102*EM102)/1.18</f>
        <v>0</v>
      </c>
      <c r="FZ102" s="19">
        <f t="shared" ref="FZ102:FZ127" si="648">+FO102*EM102</f>
        <v>0</v>
      </c>
      <c r="GA102" s="19">
        <f t="shared" ref="GA102:GA127" si="649">+(FS102*EM102)/1.18</f>
        <v>0</v>
      </c>
      <c r="GB102" s="19">
        <f t="shared" ref="GB102:GB127" si="650">+FP102*EM102</f>
        <v>0</v>
      </c>
      <c r="GC102" s="20">
        <f t="shared" si="630"/>
        <v>0</v>
      </c>
      <c r="GD102" s="20">
        <f t="shared" si="562"/>
        <v>0</v>
      </c>
      <c r="GE102" s="21"/>
      <c r="GF102" s="21">
        <f t="shared" ref="GF102" si="651">+FR102*FN102</f>
        <v>0</v>
      </c>
      <c r="GG102" s="21"/>
      <c r="GH102" s="21"/>
      <c r="GI102" s="21">
        <f t="shared" ref="GI102" si="652">+FP102*FM102</f>
        <v>0</v>
      </c>
      <c r="GJ102" s="21">
        <f t="shared" ref="GJ102" si="653">+FS102*FN102</f>
        <v>0</v>
      </c>
      <c r="GK102" s="21"/>
      <c r="GL102" s="21"/>
      <c r="GM102" s="19"/>
      <c r="GN102" s="19"/>
      <c r="GO102" s="22"/>
      <c r="GP102" s="22"/>
      <c r="GQ102" s="22"/>
      <c r="GR102" s="22"/>
      <c r="GS102" s="22"/>
      <c r="GT102" s="22"/>
      <c r="GU102" s="43"/>
      <c r="GV102" s="19"/>
      <c r="GW102" s="19"/>
      <c r="GX102" s="19"/>
      <c r="GY102" s="19"/>
      <c r="GZ102" s="19"/>
      <c r="HA102" s="22"/>
      <c r="HB102" s="22"/>
      <c r="HC102" s="22"/>
      <c r="HD102" s="22"/>
      <c r="HE102" s="22"/>
      <c r="HF102" s="22"/>
      <c r="HG102" s="233"/>
    </row>
    <row r="103" spans="2:215" ht="15.75">
      <c r="B103" s="10"/>
      <c r="C103" s="161" t="s">
        <v>153</v>
      </c>
      <c r="D103" s="73"/>
      <c r="E103" s="73"/>
      <c r="F103" s="74"/>
      <c r="G103" s="74"/>
      <c r="H103" s="74"/>
      <c r="I103" s="73"/>
      <c r="J103" s="75"/>
      <c r="K103" s="75"/>
      <c r="L103" s="75"/>
      <c r="M103" s="143"/>
      <c r="N103" s="191"/>
      <c r="O103" s="74"/>
      <c r="P103" s="74"/>
      <c r="Q103" s="74"/>
      <c r="R103" s="191"/>
      <c r="S103" s="74"/>
      <c r="T103" s="74"/>
      <c r="U103" s="74"/>
      <c r="V103" s="52"/>
      <c r="W103" s="52"/>
      <c r="X103" s="52"/>
      <c r="Y103" s="52"/>
      <c r="Z103" s="22"/>
      <c r="AA103" s="52"/>
      <c r="AB103" s="22"/>
      <c r="AC103" s="52"/>
      <c r="AD103" s="52">
        <v>2523.4</v>
      </c>
      <c r="AE103" s="22">
        <f>+IF(AC103=0,,AF103/AC103*100)</f>
        <v>0</v>
      </c>
      <c r="AF103" s="22">
        <v>2523.4</v>
      </c>
      <c r="AG103" s="22">
        <f t="shared" si="632"/>
        <v>100</v>
      </c>
      <c r="AH103" s="52"/>
      <c r="AI103" s="52"/>
      <c r="AJ103" s="52"/>
      <c r="AK103" s="52"/>
      <c r="AL103" s="22"/>
      <c r="AM103" s="52"/>
      <c r="AN103" s="22"/>
      <c r="AO103" s="22"/>
      <c r="AP103" s="22"/>
      <c r="AQ103" s="22"/>
      <c r="AR103" s="22">
        <v>1629.43</v>
      </c>
      <c r="AS103" s="22">
        <f>+IF(AQ103=0,,AT103/AQ103*100)</f>
        <v>0</v>
      </c>
      <c r="AT103" s="22">
        <v>1820.07</v>
      </c>
      <c r="AU103" s="22">
        <f t="shared" si="633"/>
        <v>111.69979686147914</v>
      </c>
      <c r="AV103" s="77"/>
      <c r="AW103" s="77"/>
      <c r="AX103" s="78" t="s">
        <v>139</v>
      </c>
      <c r="AY103" s="22">
        <f t="shared" si="577"/>
        <v>11.166639999999997</v>
      </c>
      <c r="AZ103" s="22">
        <f>+[7]БПр!$BX$1828/1000</f>
        <v>6.6102199999999991</v>
      </c>
      <c r="BA103" s="22">
        <f>+[7]БПр!$BW$1828/1000</f>
        <v>4.2601499999999994</v>
      </c>
      <c r="BB103" s="22">
        <f>+([7]БПр!$BY$1828+[7]БПр!$BP$1828)/1000</f>
        <v>0.29627000000000003</v>
      </c>
      <c r="BC103" s="22">
        <v>2523.4</v>
      </c>
      <c r="BD103" s="22">
        <v>2629.38</v>
      </c>
      <c r="BE103" s="22">
        <f t="shared" si="634"/>
        <v>104.19988903859871</v>
      </c>
      <c r="BF103" s="22">
        <v>1820.07</v>
      </c>
      <c r="BG103" s="22">
        <v>1896.51</v>
      </c>
      <c r="BH103" s="22">
        <f t="shared" si="635"/>
        <v>104.19983846775125</v>
      </c>
      <c r="BI103" s="22">
        <f>+BD103-BG103/1.18</f>
        <v>1022.1681355932203</v>
      </c>
      <c r="BJ103" s="40" t="s">
        <v>140</v>
      </c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19"/>
      <c r="CX103" s="19"/>
      <c r="CY103" s="19"/>
      <c r="CZ103" s="19"/>
      <c r="DA103" s="21"/>
      <c r="DB103" s="21"/>
      <c r="DC103" s="79"/>
      <c r="DD103" s="79"/>
      <c r="DE103" s="79"/>
      <c r="DF103" s="79"/>
      <c r="DG103" s="79"/>
      <c r="DH103" s="51"/>
      <c r="DI103" s="39"/>
      <c r="DJ103" s="80"/>
      <c r="DK103" s="39"/>
      <c r="DL103" s="39"/>
      <c r="DM103" s="48"/>
      <c r="DN103" s="39"/>
      <c r="DO103" s="39"/>
      <c r="DP103" s="39"/>
      <c r="DQ103" s="39"/>
      <c r="DR103" s="39"/>
      <c r="DS103" s="39">
        <f>+BD103*1.18</f>
        <v>3102.6684</v>
      </c>
      <c r="DT103" s="39"/>
      <c r="DU103" s="19">
        <f t="shared" si="636"/>
        <v>10195.816199491524</v>
      </c>
      <c r="DV103" s="40">
        <f t="shared" si="637"/>
        <v>10624.024010338981</v>
      </c>
      <c r="DW103" s="40">
        <f t="shared" si="638"/>
        <v>17380.780263599998</v>
      </c>
      <c r="DX103" s="21">
        <f>+('[1]тарифы (НВВ) население на 4,2%'!CL159+'[1]тарифы (НВВ) население на 4,2%'!CL160)/('[1]тарифы (НВВ) население на 4,2%'!CM159+'[1]тарифы (НВВ) население на 4,2%'!CM160)*100</f>
        <v>44.975751291277</v>
      </c>
      <c r="DY103" s="21">
        <f t="shared" si="618"/>
        <v>61.125127003581817</v>
      </c>
      <c r="DZ103" s="19">
        <f t="shared" si="619"/>
        <v>28.177899375999996</v>
      </c>
      <c r="EA103" s="19">
        <f t="shared" si="620"/>
        <v>29.361339883199996</v>
      </c>
      <c r="EB103" s="48">
        <v>1859.47</v>
      </c>
      <c r="EC103" s="48">
        <f>+(BC103-BF103/1.18)*AZ103</f>
        <v>6484.4129485084732</v>
      </c>
      <c r="ED103" s="48">
        <f>+(BD103-BG103/1.18)*AZ103</f>
        <v>6756.7562532610154</v>
      </c>
      <c r="EE103" s="22">
        <v>2629.38</v>
      </c>
      <c r="EF103" s="22">
        <v>2813.43</v>
      </c>
      <c r="EG103" s="22">
        <f t="shared" si="621"/>
        <v>106.99974899025624</v>
      </c>
      <c r="EH103" s="22">
        <v>1896.51</v>
      </c>
      <c r="EI103" s="22">
        <v>2056.7600000000002</v>
      </c>
      <c r="EJ103" s="22">
        <f t="shared" si="622"/>
        <v>108.44973134863514</v>
      </c>
      <c r="EK103" s="40" t="s">
        <v>141</v>
      </c>
      <c r="EL103" s="19">
        <v>11.55349</v>
      </c>
      <c r="EM103" s="19">
        <v>6.58033</v>
      </c>
      <c r="EN103" s="40">
        <f t="shared" si="641"/>
        <v>11469.626721016952</v>
      </c>
      <c r="EO103" s="40">
        <f t="shared" si="642"/>
        <v>18513.297831899999</v>
      </c>
      <c r="EP103" s="40"/>
      <c r="EQ103" s="21">
        <f t="shared" si="623"/>
        <v>61.95345002905858</v>
      </c>
      <c r="ER103" s="21"/>
      <c r="ES103" s="21">
        <f t="shared" ref="ES103:ES112" si="654">+EL103*EE103</f>
        <v>30378.5155362</v>
      </c>
      <c r="ET103" s="21"/>
      <c r="EU103" s="19">
        <f t="shared" si="624"/>
        <v>32504.935370699997</v>
      </c>
      <c r="EV103" s="21"/>
      <c r="EW103" s="39"/>
      <c r="EX103" s="39">
        <f t="shared" si="625"/>
        <v>29361.339883199995</v>
      </c>
      <c r="EY103" s="39">
        <f t="shared" si="559"/>
        <v>31416.559975199991</v>
      </c>
      <c r="EZ103" s="39"/>
      <c r="FA103" s="39"/>
      <c r="FB103" s="39"/>
      <c r="FC103" s="39"/>
      <c r="FD103" s="39"/>
      <c r="FE103" s="39"/>
      <c r="FF103" s="39"/>
      <c r="FG103" s="39"/>
      <c r="FH103" s="39"/>
      <c r="FI103" s="39"/>
      <c r="FJ103" s="19">
        <f t="shared" si="643"/>
        <v>6726.2036476881358</v>
      </c>
      <c r="FK103" s="19">
        <f t="shared" si="644"/>
        <v>7043.6711108830486</v>
      </c>
      <c r="FL103" s="19">
        <f t="shared" si="626"/>
        <v>13769.874758571184</v>
      </c>
      <c r="FM103" s="19">
        <v>11.12</v>
      </c>
      <c r="FN103" s="19">
        <v>6.5739999999999998</v>
      </c>
      <c r="FO103" s="22">
        <v>3013.12</v>
      </c>
      <c r="FP103" s="22">
        <v>3083.47</v>
      </c>
      <c r="FQ103" s="22"/>
      <c r="FR103" s="22">
        <v>2665.63</v>
      </c>
      <c r="FS103" s="22">
        <v>2665.63</v>
      </c>
      <c r="FT103" s="22"/>
      <c r="FU103" s="137" t="s">
        <v>624</v>
      </c>
      <c r="FV103" s="19"/>
      <c r="FW103" s="19"/>
      <c r="FX103" s="19"/>
      <c r="FY103" s="19"/>
      <c r="FZ103" s="19"/>
      <c r="GA103" s="19"/>
      <c r="GB103" s="19"/>
      <c r="GC103" s="20"/>
      <c r="GD103" s="20"/>
      <c r="GE103" s="21"/>
      <c r="GF103" s="21"/>
      <c r="GG103" s="21"/>
      <c r="GH103" s="21"/>
      <c r="GI103" s="21"/>
      <c r="GJ103" s="21"/>
      <c r="GK103" s="21"/>
      <c r="GL103" s="21"/>
      <c r="GM103" s="19"/>
      <c r="GN103" s="19"/>
      <c r="GO103" s="22">
        <v>3083.47</v>
      </c>
      <c r="GP103" s="22">
        <v>3217.34</v>
      </c>
      <c r="GQ103" s="22"/>
      <c r="GR103" s="22">
        <v>2665.63</v>
      </c>
      <c r="GS103" s="22">
        <v>2766.92</v>
      </c>
      <c r="GT103" s="22"/>
      <c r="GU103" s="137" t="s">
        <v>624</v>
      </c>
      <c r="GV103" s="19"/>
      <c r="GW103" s="19"/>
      <c r="GX103" s="19"/>
      <c r="GY103" s="19"/>
      <c r="GZ103" s="23"/>
      <c r="HA103" s="22">
        <v>3217.34</v>
      </c>
      <c r="HB103" s="22">
        <v>3305.42</v>
      </c>
      <c r="HC103" s="22"/>
      <c r="HD103" s="22">
        <v>2766.92</v>
      </c>
      <c r="HE103" s="22">
        <v>2877.6</v>
      </c>
      <c r="HF103" s="22"/>
      <c r="HG103" s="235" t="s">
        <v>624</v>
      </c>
    </row>
    <row r="104" spans="2:215" ht="31.5">
      <c r="B104" s="10"/>
      <c r="C104" s="161" t="s">
        <v>251</v>
      </c>
      <c r="D104" s="73"/>
      <c r="E104" s="73"/>
      <c r="F104" s="74"/>
      <c r="G104" s="74"/>
      <c r="H104" s="74"/>
      <c r="I104" s="73"/>
      <c r="J104" s="75"/>
      <c r="K104" s="75"/>
      <c r="L104" s="75"/>
      <c r="M104" s="143"/>
      <c r="N104" s="191"/>
      <c r="O104" s="74"/>
      <c r="P104" s="74"/>
      <c r="Q104" s="74"/>
      <c r="R104" s="191"/>
      <c r="S104" s="74"/>
      <c r="T104" s="74"/>
      <c r="U104" s="74"/>
      <c r="V104" s="52"/>
      <c r="W104" s="52"/>
      <c r="X104" s="52"/>
      <c r="Y104" s="52"/>
      <c r="Z104" s="22"/>
      <c r="AA104" s="52"/>
      <c r="AB104" s="22"/>
      <c r="AC104" s="52"/>
      <c r="AD104" s="52"/>
      <c r="AE104" s="22"/>
      <c r="AF104" s="22"/>
      <c r="AG104" s="22"/>
      <c r="AH104" s="52"/>
      <c r="AI104" s="52"/>
      <c r="AJ104" s="52"/>
      <c r="AK104" s="52"/>
      <c r="AL104" s="22"/>
      <c r="AM104" s="52"/>
      <c r="AN104" s="22"/>
      <c r="AO104" s="22"/>
      <c r="AP104" s="22"/>
      <c r="AQ104" s="22"/>
      <c r="AR104" s="22"/>
      <c r="AS104" s="22"/>
      <c r="AT104" s="22"/>
      <c r="AU104" s="22"/>
      <c r="AV104" s="77"/>
      <c r="AW104" s="77"/>
      <c r="AX104" s="78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40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19"/>
      <c r="CX104" s="19"/>
      <c r="CY104" s="19"/>
      <c r="CZ104" s="19"/>
      <c r="DA104" s="21"/>
      <c r="DB104" s="21"/>
      <c r="DC104" s="79"/>
      <c r="DD104" s="79"/>
      <c r="DE104" s="79"/>
      <c r="DF104" s="79"/>
      <c r="DG104" s="79"/>
      <c r="DH104" s="51"/>
      <c r="DI104" s="39"/>
      <c r="DJ104" s="80"/>
      <c r="DK104" s="39"/>
      <c r="DL104" s="39"/>
      <c r="DM104" s="48"/>
      <c r="DN104" s="39"/>
      <c r="DO104" s="39"/>
      <c r="DP104" s="39"/>
      <c r="DQ104" s="39"/>
      <c r="DR104" s="39"/>
      <c r="DS104" s="39"/>
      <c r="DT104" s="39"/>
      <c r="DU104" s="19"/>
      <c r="DV104" s="40"/>
      <c r="DW104" s="40"/>
      <c r="DX104" s="21"/>
      <c r="DY104" s="21"/>
      <c r="DZ104" s="19"/>
      <c r="EA104" s="19"/>
      <c r="EB104" s="48"/>
      <c r="EC104" s="48"/>
      <c r="ED104" s="48"/>
      <c r="EE104" s="22"/>
      <c r="EF104" s="22"/>
      <c r="EG104" s="22"/>
      <c r="EH104" s="22"/>
      <c r="EI104" s="22"/>
      <c r="EJ104" s="22"/>
      <c r="EK104" s="40"/>
      <c r="EL104" s="19"/>
      <c r="EM104" s="19"/>
      <c r="EN104" s="40"/>
      <c r="EO104" s="40"/>
      <c r="EP104" s="40"/>
      <c r="EQ104" s="21"/>
      <c r="ER104" s="21"/>
      <c r="ES104" s="21"/>
      <c r="ET104" s="21"/>
      <c r="EU104" s="19"/>
      <c r="EV104" s="21"/>
      <c r="EW104" s="39"/>
      <c r="EX104" s="39"/>
      <c r="EY104" s="39"/>
      <c r="EZ104" s="39"/>
      <c r="FA104" s="39"/>
      <c r="FB104" s="39"/>
      <c r="FC104" s="39"/>
      <c r="FD104" s="39"/>
      <c r="FE104" s="39"/>
      <c r="FF104" s="39"/>
      <c r="FG104" s="39"/>
      <c r="FH104" s="39"/>
      <c r="FI104" s="39"/>
      <c r="FJ104" s="19"/>
      <c r="FK104" s="19"/>
      <c r="FL104" s="19"/>
      <c r="FM104" s="19">
        <v>1.0610900000000001</v>
      </c>
      <c r="FN104" s="19"/>
      <c r="FO104" s="22">
        <v>2400.83</v>
      </c>
      <c r="FP104" s="22">
        <v>2455.02</v>
      </c>
      <c r="FQ104" s="22"/>
      <c r="FR104" s="22" t="s">
        <v>633</v>
      </c>
      <c r="FS104" s="22" t="s">
        <v>633</v>
      </c>
      <c r="FT104" s="22"/>
      <c r="FU104" s="137"/>
      <c r="FV104" s="19"/>
      <c r="FW104" s="19"/>
      <c r="FX104" s="19"/>
      <c r="FY104" s="19"/>
      <c r="FZ104" s="19"/>
      <c r="GA104" s="19"/>
      <c r="GB104" s="19"/>
      <c r="GC104" s="20"/>
      <c r="GD104" s="20"/>
      <c r="GE104" s="21"/>
      <c r="GF104" s="21"/>
      <c r="GG104" s="21"/>
      <c r="GH104" s="21"/>
      <c r="GI104" s="21"/>
      <c r="GJ104" s="21"/>
      <c r="GK104" s="21"/>
      <c r="GL104" s="21"/>
      <c r="GM104" s="19"/>
      <c r="GN104" s="19"/>
      <c r="GO104" s="22">
        <v>3083.47</v>
      </c>
      <c r="GP104" s="22">
        <v>3217.34</v>
      </c>
      <c r="GQ104" s="22"/>
      <c r="GR104" s="22"/>
      <c r="GS104" s="22"/>
      <c r="GT104" s="22"/>
      <c r="GU104" s="137"/>
      <c r="GV104" s="19"/>
      <c r="GW104" s="19"/>
      <c r="GX104" s="19"/>
      <c r="GY104" s="19"/>
      <c r="GZ104" s="19"/>
      <c r="HA104" s="22">
        <v>3217.34</v>
      </c>
      <c r="HB104" s="22">
        <v>3305.42</v>
      </c>
      <c r="HC104" s="22"/>
      <c r="HD104" s="22"/>
      <c r="HE104" s="22"/>
      <c r="HF104" s="22"/>
      <c r="HG104" s="235"/>
    </row>
    <row r="105" spans="2:215" ht="15.75">
      <c r="B105" s="10"/>
      <c r="C105" s="184" t="s">
        <v>150</v>
      </c>
      <c r="D105" s="73"/>
      <c r="E105" s="73"/>
      <c r="F105" s="74"/>
      <c r="G105" s="74"/>
      <c r="H105" s="74"/>
      <c r="I105" s="73"/>
      <c r="J105" s="75"/>
      <c r="K105" s="75"/>
      <c r="L105" s="75"/>
      <c r="M105" s="143"/>
      <c r="N105" s="191"/>
      <c r="O105" s="74"/>
      <c r="P105" s="74"/>
      <c r="Q105" s="74"/>
      <c r="R105" s="191"/>
      <c r="S105" s="74"/>
      <c r="T105" s="74"/>
      <c r="U105" s="74"/>
      <c r="V105" s="52"/>
      <c r="W105" s="52"/>
      <c r="X105" s="52"/>
      <c r="Y105" s="52"/>
      <c r="Z105" s="22"/>
      <c r="AA105" s="52"/>
      <c r="AB105" s="22"/>
      <c r="AC105" s="52"/>
      <c r="AD105" s="22">
        <v>274.52</v>
      </c>
      <c r="AE105" s="22">
        <f>+IF(AC105=0,,AF105/AC105*100)</f>
        <v>0</v>
      </c>
      <c r="AF105" s="22">
        <v>274.52</v>
      </c>
      <c r="AG105" s="22">
        <f t="shared" si="632"/>
        <v>100</v>
      </c>
      <c r="AH105" s="52"/>
      <c r="AI105" s="52"/>
      <c r="AJ105" s="52"/>
      <c r="AK105" s="52"/>
      <c r="AL105" s="22"/>
      <c r="AM105" s="52"/>
      <c r="AN105" s="22"/>
      <c r="AO105" s="22"/>
      <c r="AP105" s="22"/>
      <c r="AQ105" s="22"/>
      <c r="AR105" s="22">
        <v>139.22</v>
      </c>
      <c r="AS105" s="22">
        <f>+IF(AQ105=0,,AT105/AQ105*100)</f>
        <v>0</v>
      </c>
      <c r="AT105" s="22">
        <v>155.11000000000001</v>
      </c>
      <c r="AU105" s="22">
        <f t="shared" si="633"/>
        <v>111.41359000143657</v>
      </c>
      <c r="AV105" s="77"/>
      <c r="AW105" s="77"/>
      <c r="AX105" s="78" t="s">
        <v>156</v>
      </c>
      <c r="AY105" s="22">
        <f t="shared" si="577"/>
        <v>0</v>
      </c>
      <c r="AZ105" s="22"/>
      <c r="BA105" s="22"/>
      <c r="BB105" s="22"/>
      <c r="BC105" s="22"/>
      <c r="BD105" s="22"/>
      <c r="BE105" s="22">
        <f t="shared" si="634"/>
        <v>0</v>
      </c>
      <c r="BF105" s="22">
        <v>155.11000000000001</v>
      </c>
      <c r="BG105" s="22">
        <v>161.62</v>
      </c>
      <c r="BH105" s="22">
        <f t="shared" si="635"/>
        <v>104.19702146863517</v>
      </c>
      <c r="BI105" s="22"/>
      <c r="BJ105" s="40" t="s">
        <v>157</v>
      </c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19"/>
      <c r="CX105" s="19"/>
      <c r="CY105" s="19"/>
      <c r="CZ105" s="19"/>
      <c r="DA105" s="21"/>
      <c r="DB105" s="21"/>
      <c r="DC105" s="79"/>
      <c r="DD105" s="79"/>
      <c r="DE105" s="79"/>
      <c r="DF105" s="79"/>
      <c r="DG105" s="79"/>
      <c r="DH105" s="51"/>
      <c r="DI105" s="39"/>
      <c r="DJ105" s="80"/>
      <c r="DK105" s="39"/>
      <c r="DL105" s="39"/>
      <c r="DM105" s="48"/>
      <c r="DN105" s="39"/>
      <c r="DO105" s="39"/>
      <c r="DP105" s="39"/>
      <c r="DQ105" s="39"/>
      <c r="DR105" s="39"/>
      <c r="DS105" s="39"/>
      <c r="DT105" s="39"/>
      <c r="DU105" s="19">
        <f t="shared" si="636"/>
        <v>0</v>
      </c>
      <c r="DV105" s="40">
        <f>+'[1]тарифы (НВВ) население на 4,2%'!CL162*1.042</f>
        <v>92.439328600295269</v>
      </c>
      <c r="DW105" s="40">
        <f>+'[1]тарифы (НВВ) население на 4,2%'!CM162*1.042</f>
        <v>216.61392953059098</v>
      </c>
      <c r="DX105" s="46"/>
      <c r="DY105" s="21">
        <f t="shared" si="618"/>
        <v>42.674692620467262</v>
      </c>
      <c r="DZ105" s="19">
        <f t="shared" si="619"/>
        <v>0</v>
      </c>
      <c r="EA105" s="19">
        <f t="shared" si="620"/>
        <v>0</v>
      </c>
      <c r="EB105" s="19"/>
      <c r="EC105" s="48">
        <f t="shared" si="639"/>
        <v>0</v>
      </c>
      <c r="ED105" s="48">
        <f t="shared" si="640"/>
        <v>0</v>
      </c>
      <c r="EE105" s="22">
        <v>286.05</v>
      </c>
      <c r="EF105" s="22">
        <v>304.94</v>
      </c>
      <c r="EG105" s="22">
        <f t="shared" si="621"/>
        <v>106.60374060478937</v>
      </c>
      <c r="EH105" s="22">
        <v>161.62</v>
      </c>
      <c r="EI105" s="22">
        <v>175.16</v>
      </c>
      <c r="EJ105" s="22">
        <f t="shared" si="622"/>
        <v>108.37767603019428</v>
      </c>
      <c r="EK105" s="40" t="s">
        <v>158</v>
      </c>
      <c r="EL105" s="19">
        <v>3.5045999999999999</v>
      </c>
      <c r="EM105" s="19">
        <v>0.64860000000000007</v>
      </c>
      <c r="EN105" s="40">
        <f t="shared" si="641"/>
        <v>96.278623728813571</v>
      </c>
      <c r="EO105" s="40">
        <f t="shared" si="642"/>
        <v>197.78408400000001</v>
      </c>
      <c r="EP105" s="40"/>
      <c r="EQ105" s="21">
        <f t="shared" si="623"/>
        <v>48.678650871024374</v>
      </c>
      <c r="ER105" s="21"/>
      <c r="ES105" s="21">
        <f t="shared" si="654"/>
        <v>1002.4908300000001</v>
      </c>
      <c r="ET105" s="21"/>
      <c r="EU105" s="19">
        <f t="shared" si="624"/>
        <v>1068.692724</v>
      </c>
      <c r="EV105" s="21"/>
      <c r="EW105" s="39"/>
      <c r="EX105" s="39">
        <f t="shared" si="625"/>
        <v>0</v>
      </c>
      <c r="EY105" s="39">
        <f t="shared" si="559"/>
        <v>0</v>
      </c>
      <c r="EZ105" s="39"/>
      <c r="FA105" s="39"/>
      <c r="FB105" s="39"/>
      <c r="FC105" s="39"/>
      <c r="FD105" s="39"/>
      <c r="FE105" s="39"/>
      <c r="FF105" s="39"/>
      <c r="FG105" s="39"/>
      <c r="FH105" s="39"/>
      <c r="FI105" s="39"/>
      <c r="FJ105" s="19">
        <f t="shared" si="643"/>
        <v>96.695816440677973</v>
      </c>
      <c r="FK105" s="19">
        <f t="shared" si="644"/>
        <v>101.50546027118645</v>
      </c>
      <c r="FL105" s="19">
        <f t="shared" si="626"/>
        <v>198.20127671186441</v>
      </c>
      <c r="FM105" s="19">
        <v>3.427</v>
      </c>
      <c r="FN105" s="19">
        <v>0.50060000000000004</v>
      </c>
      <c r="FO105" s="22">
        <v>323.20999999999998</v>
      </c>
      <c r="FP105" s="22">
        <v>329.27</v>
      </c>
      <c r="FQ105" s="22"/>
      <c r="FR105" s="22">
        <v>223.15</v>
      </c>
      <c r="FS105" s="22">
        <v>223.15</v>
      </c>
      <c r="FT105" s="22"/>
      <c r="FU105" s="129" t="s">
        <v>631</v>
      </c>
      <c r="FV105" s="19"/>
      <c r="FW105" s="19"/>
      <c r="FX105" s="19"/>
      <c r="FY105" s="19"/>
      <c r="FZ105" s="19"/>
      <c r="GA105" s="19"/>
      <c r="GB105" s="19"/>
      <c r="GC105" s="20"/>
      <c r="GD105" s="20"/>
      <c r="GE105" s="21"/>
      <c r="GF105" s="21"/>
      <c r="GG105" s="21"/>
      <c r="GH105" s="21"/>
      <c r="GI105" s="21"/>
      <c r="GJ105" s="21"/>
      <c r="GK105" s="21"/>
      <c r="GL105" s="21"/>
      <c r="GM105" s="19"/>
      <c r="GN105" s="19"/>
      <c r="GO105" s="22">
        <v>329.27</v>
      </c>
      <c r="GP105" s="22">
        <v>341.78</v>
      </c>
      <c r="GQ105" s="22"/>
      <c r="GR105" s="22">
        <v>223.15</v>
      </c>
      <c r="GS105" s="22">
        <v>231.63</v>
      </c>
      <c r="GT105" s="22"/>
      <c r="GU105" s="129" t="s">
        <v>631</v>
      </c>
      <c r="GV105" s="19"/>
      <c r="GW105" s="19"/>
      <c r="GX105" s="19"/>
      <c r="GY105" s="19"/>
      <c r="GZ105" s="23"/>
      <c r="HA105" s="22">
        <v>341.78</v>
      </c>
      <c r="HB105" s="22">
        <v>355.45</v>
      </c>
      <c r="HC105" s="22"/>
      <c r="HD105" s="22">
        <v>231.63</v>
      </c>
      <c r="HE105" s="22">
        <v>240.89</v>
      </c>
      <c r="HF105" s="22"/>
      <c r="HG105" s="236" t="s">
        <v>631</v>
      </c>
    </row>
    <row r="106" spans="2:215" ht="31.9" customHeight="1">
      <c r="B106" s="10" t="s">
        <v>252</v>
      </c>
      <c r="C106" s="192" t="s">
        <v>253</v>
      </c>
      <c r="D106" s="73"/>
      <c r="E106" s="73"/>
      <c r="F106" s="74"/>
      <c r="G106" s="74"/>
      <c r="H106" s="74"/>
      <c r="I106" s="73"/>
      <c r="J106" s="75"/>
      <c r="K106" s="75"/>
      <c r="L106" s="75"/>
      <c r="M106" s="143"/>
      <c r="N106" s="191"/>
      <c r="O106" s="74"/>
      <c r="P106" s="74"/>
      <c r="Q106" s="74"/>
      <c r="R106" s="191"/>
      <c r="S106" s="74"/>
      <c r="T106" s="74"/>
      <c r="U106" s="74"/>
      <c r="V106" s="52"/>
      <c r="W106" s="52"/>
      <c r="X106" s="52"/>
      <c r="Y106" s="52"/>
      <c r="Z106" s="22"/>
      <c r="AA106" s="52"/>
      <c r="AB106" s="22"/>
      <c r="AC106" s="52"/>
      <c r="AD106" s="22"/>
      <c r="AE106" s="22"/>
      <c r="AF106" s="22"/>
      <c r="AG106" s="22">
        <f t="shared" si="632"/>
        <v>0</v>
      </c>
      <c r="AH106" s="52"/>
      <c r="AI106" s="52"/>
      <c r="AJ106" s="52"/>
      <c r="AK106" s="52"/>
      <c r="AL106" s="22"/>
      <c r="AM106" s="52"/>
      <c r="AN106" s="22"/>
      <c r="AO106" s="22"/>
      <c r="AP106" s="22"/>
      <c r="AQ106" s="22"/>
      <c r="AR106" s="22"/>
      <c r="AS106" s="22"/>
      <c r="AT106" s="22"/>
      <c r="AU106" s="22">
        <f t="shared" si="633"/>
        <v>0</v>
      </c>
      <c r="AV106" s="77"/>
      <c r="AW106" s="77"/>
      <c r="AX106" s="78"/>
      <c r="AY106" s="22">
        <f t="shared" si="577"/>
        <v>0</v>
      </c>
      <c r="AZ106" s="22"/>
      <c r="BA106" s="22"/>
      <c r="BB106" s="22"/>
      <c r="BC106" s="22"/>
      <c r="BD106" s="22"/>
      <c r="BE106" s="22">
        <f t="shared" si="634"/>
        <v>0</v>
      </c>
      <c r="BF106" s="22"/>
      <c r="BG106" s="22"/>
      <c r="BH106" s="22">
        <f t="shared" si="635"/>
        <v>0</v>
      </c>
      <c r="BI106" s="22"/>
      <c r="BJ106" s="40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19"/>
      <c r="CX106" s="19"/>
      <c r="CY106" s="19"/>
      <c r="CZ106" s="19"/>
      <c r="DA106" s="21"/>
      <c r="DB106" s="21"/>
      <c r="DC106" s="79"/>
      <c r="DD106" s="79"/>
      <c r="DE106" s="79"/>
      <c r="DF106" s="79"/>
      <c r="DG106" s="79"/>
      <c r="DH106" s="51"/>
      <c r="DI106" s="39"/>
      <c r="DJ106" s="80"/>
      <c r="DK106" s="39"/>
      <c r="DL106" s="39"/>
      <c r="DM106" s="48"/>
      <c r="DN106" s="39"/>
      <c r="DO106" s="39"/>
      <c r="DP106" s="39"/>
      <c r="DQ106" s="39"/>
      <c r="DR106" s="39"/>
      <c r="DS106" s="39"/>
      <c r="DT106" s="39"/>
      <c r="DU106" s="19">
        <f t="shared" si="636"/>
        <v>0</v>
      </c>
      <c r="DV106" s="40">
        <f t="shared" si="637"/>
        <v>0</v>
      </c>
      <c r="DW106" s="40">
        <f t="shared" si="638"/>
        <v>0</v>
      </c>
      <c r="DX106" s="46"/>
      <c r="DY106" s="21">
        <f t="shared" si="618"/>
        <v>0</v>
      </c>
      <c r="DZ106" s="19">
        <f t="shared" si="619"/>
        <v>0</v>
      </c>
      <c r="EA106" s="19">
        <f t="shared" si="620"/>
        <v>0</v>
      </c>
      <c r="EB106" s="19"/>
      <c r="EC106" s="48">
        <f t="shared" si="639"/>
        <v>0</v>
      </c>
      <c r="ED106" s="48">
        <f t="shared" si="640"/>
        <v>0</v>
      </c>
      <c r="EE106" s="22"/>
      <c r="EF106" s="22"/>
      <c r="EG106" s="22">
        <f t="shared" si="621"/>
        <v>0</v>
      </c>
      <c r="EH106" s="22"/>
      <c r="EI106" s="22"/>
      <c r="EJ106" s="22">
        <f t="shared" si="622"/>
        <v>0</v>
      </c>
      <c r="EK106" s="40"/>
      <c r="EL106" s="19"/>
      <c r="EM106" s="19"/>
      <c r="EN106" s="40">
        <f t="shared" si="641"/>
        <v>0</v>
      </c>
      <c r="EO106" s="40">
        <f t="shared" si="642"/>
        <v>0</v>
      </c>
      <c r="EP106" s="40"/>
      <c r="EQ106" s="21">
        <f t="shared" si="623"/>
        <v>0</v>
      </c>
      <c r="ER106" s="21"/>
      <c r="ES106" s="21">
        <f t="shared" si="654"/>
        <v>0</v>
      </c>
      <c r="ET106" s="21"/>
      <c r="EU106" s="19">
        <f t="shared" si="624"/>
        <v>0</v>
      </c>
      <c r="EV106" s="21"/>
      <c r="EW106" s="39"/>
      <c r="EX106" s="39">
        <f t="shared" si="625"/>
        <v>0</v>
      </c>
      <c r="EY106" s="39">
        <f t="shared" si="559"/>
        <v>0</v>
      </c>
      <c r="EZ106" s="39"/>
      <c r="FA106" s="39"/>
      <c r="FB106" s="39"/>
      <c r="FC106" s="39"/>
      <c r="FD106" s="39"/>
      <c r="FE106" s="39"/>
      <c r="FF106" s="39"/>
      <c r="FG106" s="39"/>
      <c r="FH106" s="39"/>
      <c r="FI106" s="39"/>
      <c r="FJ106" s="19">
        <f t="shared" si="643"/>
        <v>0</v>
      </c>
      <c r="FK106" s="19">
        <f t="shared" si="644"/>
        <v>0</v>
      </c>
      <c r="FL106" s="19">
        <f t="shared" si="626"/>
        <v>0</v>
      </c>
      <c r="FM106" s="19"/>
      <c r="FN106" s="19"/>
      <c r="FO106" s="22"/>
      <c r="FP106" s="22"/>
      <c r="FQ106" s="22"/>
      <c r="FR106" s="22"/>
      <c r="FS106" s="22"/>
      <c r="FT106" s="22"/>
      <c r="FU106" s="40"/>
      <c r="FV106" s="19"/>
      <c r="FW106" s="19"/>
      <c r="FX106" s="19"/>
      <c r="FY106" s="19"/>
      <c r="FZ106" s="19"/>
      <c r="GA106" s="19"/>
      <c r="GB106" s="19"/>
      <c r="GC106" s="20"/>
      <c r="GD106" s="20"/>
      <c r="GE106" s="21"/>
      <c r="GF106" s="21"/>
      <c r="GG106" s="21"/>
      <c r="GH106" s="21"/>
      <c r="GI106" s="21"/>
      <c r="GJ106" s="21"/>
      <c r="GK106" s="21"/>
      <c r="GL106" s="21"/>
      <c r="GM106" s="19"/>
      <c r="GN106" s="19"/>
      <c r="GO106" s="22"/>
      <c r="GP106" s="22"/>
      <c r="GQ106" s="22"/>
      <c r="GR106" s="22"/>
      <c r="GS106" s="22"/>
      <c r="GT106" s="22"/>
      <c r="GU106" s="43"/>
      <c r="GV106" s="19"/>
      <c r="GW106" s="19"/>
      <c r="GX106" s="19"/>
      <c r="GY106" s="19"/>
      <c r="GZ106" s="19"/>
      <c r="HA106" s="22"/>
      <c r="HB106" s="22"/>
      <c r="HC106" s="22"/>
      <c r="HD106" s="22"/>
      <c r="HE106" s="22"/>
      <c r="HF106" s="22"/>
      <c r="HG106" s="233"/>
    </row>
    <row r="107" spans="2:215" ht="15.75">
      <c r="B107" s="10"/>
      <c r="C107" s="184" t="s">
        <v>142</v>
      </c>
      <c r="D107" s="73"/>
      <c r="E107" s="73"/>
      <c r="F107" s="74"/>
      <c r="G107" s="74"/>
      <c r="H107" s="74"/>
      <c r="I107" s="73"/>
      <c r="J107" s="75"/>
      <c r="K107" s="75"/>
      <c r="L107" s="75"/>
      <c r="M107" s="143"/>
      <c r="N107" s="191"/>
      <c r="O107" s="74"/>
      <c r="P107" s="74"/>
      <c r="Q107" s="74"/>
      <c r="R107" s="191"/>
      <c r="S107" s="74"/>
      <c r="T107" s="74"/>
      <c r="U107" s="74"/>
      <c r="V107" s="52"/>
      <c r="W107" s="52"/>
      <c r="X107" s="52"/>
      <c r="Y107" s="52"/>
      <c r="Z107" s="22"/>
      <c r="AA107" s="52"/>
      <c r="AB107" s="22"/>
      <c r="AC107" s="52"/>
      <c r="AD107" s="22">
        <v>108.25</v>
      </c>
      <c r="AE107" s="22">
        <f t="shared" ref="AE107:AE117" si="655">+IF(AC107=0,,AF107/AC107*100)</f>
        <v>0</v>
      </c>
      <c r="AF107" s="22">
        <v>108.25</v>
      </c>
      <c r="AG107" s="22">
        <f t="shared" si="632"/>
        <v>100</v>
      </c>
      <c r="AH107" s="52"/>
      <c r="AI107" s="52"/>
      <c r="AJ107" s="52"/>
      <c r="AK107" s="52"/>
      <c r="AL107" s="22"/>
      <c r="AM107" s="52"/>
      <c r="AN107" s="22"/>
      <c r="AO107" s="22"/>
      <c r="AP107" s="22"/>
      <c r="AQ107" s="22"/>
      <c r="AR107" s="22">
        <v>54.95</v>
      </c>
      <c r="AS107" s="22">
        <f t="shared" ref="AS107:AS117" si="656">+IF(AQ107=0,,AT107/AQ107*100)</f>
        <v>0</v>
      </c>
      <c r="AT107" s="22">
        <v>60.82</v>
      </c>
      <c r="AU107" s="22">
        <f t="shared" si="633"/>
        <v>110.68243858052776</v>
      </c>
      <c r="AV107" s="77"/>
      <c r="AW107" s="77"/>
      <c r="AX107" s="239" t="s">
        <v>254</v>
      </c>
      <c r="AY107" s="22">
        <f t="shared" si="577"/>
        <v>96.105000000000004</v>
      </c>
      <c r="AZ107" s="22">
        <f>+[3]БПр!$AC$530/1000</f>
        <v>71.483999999999995</v>
      </c>
      <c r="BA107" s="22">
        <f>+[3]БПр!$AB$530/1000</f>
        <v>12.06</v>
      </c>
      <c r="BB107" s="22">
        <f>+[3]БПр!$AD$530/1000</f>
        <v>12.561000000000002</v>
      </c>
      <c r="BC107" s="22">
        <v>113.25</v>
      </c>
      <c r="BD107" s="22">
        <v>113.25</v>
      </c>
      <c r="BE107" s="22">
        <f t="shared" si="634"/>
        <v>100</v>
      </c>
      <c r="BF107" s="22">
        <v>60.82</v>
      </c>
      <c r="BG107" s="22">
        <v>63.37</v>
      </c>
      <c r="BH107" s="22">
        <f t="shared" si="635"/>
        <v>104.19269976981256</v>
      </c>
      <c r="BI107" s="22"/>
      <c r="BJ107" s="241" t="s">
        <v>255</v>
      </c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19"/>
      <c r="CX107" s="19"/>
      <c r="CY107" s="19"/>
      <c r="CZ107" s="19"/>
      <c r="DA107" s="21"/>
      <c r="DB107" s="21"/>
      <c r="DC107" s="79"/>
      <c r="DD107" s="79"/>
      <c r="DE107" s="79"/>
      <c r="DF107" s="79"/>
      <c r="DG107" s="79"/>
      <c r="DH107" s="51"/>
      <c r="DI107" s="39"/>
      <c r="DJ107" s="80"/>
      <c r="DK107" s="39"/>
      <c r="DL107" s="39"/>
      <c r="DM107" s="48"/>
      <c r="DN107" s="39"/>
      <c r="DO107" s="39"/>
      <c r="DP107" s="39"/>
      <c r="DQ107" s="39"/>
      <c r="DR107" s="39"/>
      <c r="DS107" s="39"/>
      <c r="DT107" s="39"/>
      <c r="DU107" s="19">
        <f t="shared" si="636"/>
        <v>3684.4549830508472</v>
      </c>
      <c r="DV107" s="40">
        <f>+(BG107*AZ107)</f>
        <v>4529.9410799999996</v>
      </c>
      <c r="DW107" s="40">
        <f t="shared" si="638"/>
        <v>8095.5629999999992</v>
      </c>
      <c r="DX107" s="46"/>
      <c r="DY107" s="21">
        <f t="shared" si="618"/>
        <v>55.955849889624723</v>
      </c>
      <c r="DZ107" s="19">
        <f t="shared" si="619"/>
        <v>10.883891250000001</v>
      </c>
      <c r="EA107" s="19">
        <f t="shared" si="620"/>
        <v>10.883891250000001</v>
      </c>
      <c r="EB107" s="19"/>
      <c r="EC107" s="48">
        <f>+(BC107-BF107)*AZ107</f>
        <v>3747.9061199999996</v>
      </c>
      <c r="ED107" s="48">
        <f>+(BD107-BG107)*AZ107</f>
        <v>3565.62192</v>
      </c>
      <c r="EE107" s="22">
        <v>113.25</v>
      </c>
      <c r="EF107" s="22">
        <v>120.04</v>
      </c>
      <c r="EG107" s="22">
        <f t="shared" si="621"/>
        <v>105.99558498896249</v>
      </c>
      <c r="EH107" s="22">
        <v>63.37</v>
      </c>
      <c r="EI107" s="22">
        <v>68.72</v>
      </c>
      <c r="EJ107" s="22">
        <f t="shared" si="622"/>
        <v>108.44248066908632</v>
      </c>
      <c r="EK107" s="241" t="s">
        <v>256</v>
      </c>
      <c r="EL107" s="19">
        <v>96.14</v>
      </c>
      <c r="EM107" s="19">
        <v>71.48</v>
      </c>
      <c r="EN107" s="40">
        <f>+(EI107*EM107)</f>
        <v>4912.1055999999999</v>
      </c>
      <c r="EO107" s="40">
        <f t="shared" si="642"/>
        <v>8580.4592000000011</v>
      </c>
      <c r="EP107" s="40"/>
      <c r="EQ107" s="21">
        <f t="shared" si="623"/>
        <v>57.247584138620454</v>
      </c>
      <c r="ER107" s="21"/>
      <c r="ES107" s="21">
        <f t="shared" si="654"/>
        <v>10887.855</v>
      </c>
      <c r="ET107" s="21"/>
      <c r="EU107" s="19">
        <f t="shared" si="624"/>
        <v>11540.6456</v>
      </c>
      <c r="EV107" s="21"/>
      <c r="EW107" s="39"/>
      <c r="EX107" s="39">
        <f t="shared" si="625"/>
        <v>10883.891250000001</v>
      </c>
      <c r="EY107" s="39">
        <f t="shared" si="559"/>
        <v>11536.444200000002</v>
      </c>
      <c r="EZ107" s="39"/>
      <c r="FA107" s="39"/>
      <c r="FB107" s="39"/>
      <c r="FC107" s="39"/>
      <c r="FD107" s="39"/>
      <c r="FE107" s="39"/>
      <c r="FF107" s="39"/>
      <c r="FG107" s="39"/>
      <c r="FH107" s="39"/>
      <c r="FI107" s="39"/>
      <c r="FJ107" s="19">
        <f>+(EE107-EH107)*EM107</f>
        <v>3565.4224000000004</v>
      </c>
      <c r="FK107" s="19">
        <f>+(EF107-EI107)*EM107</f>
        <v>3668.3536000000008</v>
      </c>
      <c r="FL107" s="19">
        <f t="shared" si="626"/>
        <v>7233.7760000000017</v>
      </c>
      <c r="FM107" s="19">
        <v>95.468000000000004</v>
      </c>
      <c r="FN107" s="19">
        <v>71.174000000000007</v>
      </c>
      <c r="FO107" s="22">
        <v>130.63</v>
      </c>
      <c r="FP107" s="22">
        <v>132.19</v>
      </c>
      <c r="FQ107" s="22"/>
      <c r="FR107" s="22">
        <v>86.94</v>
      </c>
      <c r="FS107" s="22">
        <v>86.94</v>
      </c>
      <c r="FT107" s="22"/>
      <c r="FU107" s="241" t="s">
        <v>661</v>
      </c>
      <c r="FV107" s="19"/>
      <c r="FW107" s="19"/>
      <c r="FX107" s="19"/>
      <c r="FY107" s="19"/>
      <c r="FZ107" s="19"/>
      <c r="GA107" s="19"/>
      <c r="GB107" s="19"/>
      <c r="GC107" s="20"/>
      <c r="GD107" s="20"/>
      <c r="GE107" s="21"/>
      <c r="GF107" s="21"/>
      <c r="GG107" s="21"/>
      <c r="GH107" s="21"/>
      <c r="GI107" s="21"/>
      <c r="GJ107" s="21"/>
      <c r="GK107" s="21"/>
      <c r="GL107" s="21"/>
      <c r="GM107" s="19"/>
      <c r="GN107" s="19"/>
      <c r="GO107" s="22">
        <v>132.19</v>
      </c>
      <c r="GP107" s="22">
        <v>136.41</v>
      </c>
      <c r="GQ107" s="22"/>
      <c r="GR107" s="22">
        <v>86.94</v>
      </c>
      <c r="GS107" s="22">
        <v>90.42</v>
      </c>
      <c r="GT107" s="22"/>
      <c r="GU107" s="241" t="s">
        <v>661</v>
      </c>
      <c r="GV107" s="19"/>
      <c r="GW107" s="19"/>
      <c r="GX107" s="19"/>
      <c r="GY107" s="19"/>
      <c r="GZ107" s="23"/>
      <c r="HA107" s="22">
        <v>136.41</v>
      </c>
      <c r="HB107" s="22">
        <v>140.15</v>
      </c>
      <c r="HC107" s="22"/>
      <c r="HD107" s="22">
        <v>90.42</v>
      </c>
      <c r="HE107" s="22">
        <v>94.04</v>
      </c>
      <c r="HF107" s="22"/>
      <c r="HG107" s="241" t="s">
        <v>661</v>
      </c>
    </row>
    <row r="108" spans="2:215" ht="15.75">
      <c r="B108" s="10"/>
      <c r="C108" s="184" t="s">
        <v>257</v>
      </c>
      <c r="D108" s="73"/>
      <c r="E108" s="73"/>
      <c r="F108" s="74"/>
      <c r="G108" s="74"/>
      <c r="H108" s="74"/>
      <c r="I108" s="73"/>
      <c r="J108" s="75"/>
      <c r="K108" s="75"/>
      <c r="L108" s="75"/>
      <c r="M108" s="143"/>
      <c r="N108" s="191"/>
      <c r="O108" s="74"/>
      <c r="P108" s="74"/>
      <c r="Q108" s="74"/>
      <c r="R108" s="191"/>
      <c r="S108" s="74"/>
      <c r="T108" s="74"/>
      <c r="U108" s="74"/>
      <c r="V108" s="52"/>
      <c r="W108" s="52"/>
      <c r="X108" s="52"/>
      <c r="Y108" s="52"/>
      <c r="Z108" s="22"/>
      <c r="AA108" s="52"/>
      <c r="AB108" s="22"/>
      <c r="AC108" s="52"/>
      <c r="AD108" s="22">
        <v>173.86</v>
      </c>
      <c r="AE108" s="22">
        <f t="shared" si="655"/>
        <v>0</v>
      </c>
      <c r="AF108" s="22">
        <v>173.86</v>
      </c>
      <c r="AG108" s="22">
        <f t="shared" si="632"/>
        <v>100</v>
      </c>
      <c r="AH108" s="52"/>
      <c r="AI108" s="52"/>
      <c r="AJ108" s="52"/>
      <c r="AK108" s="52"/>
      <c r="AL108" s="22"/>
      <c r="AM108" s="52"/>
      <c r="AN108" s="22"/>
      <c r="AO108" s="22"/>
      <c r="AP108" s="22"/>
      <c r="AQ108" s="22"/>
      <c r="AR108" s="22">
        <v>46.489999999999995</v>
      </c>
      <c r="AS108" s="22">
        <f t="shared" si="656"/>
        <v>0</v>
      </c>
      <c r="AT108" s="22">
        <v>51.45</v>
      </c>
      <c r="AU108" s="22">
        <f t="shared" si="633"/>
        <v>110.66896106689612</v>
      </c>
      <c r="AV108" s="77"/>
      <c r="AW108" s="77"/>
      <c r="AX108" s="239"/>
      <c r="AY108" s="22">
        <f t="shared" si="577"/>
        <v>32.789000000000001</v>
      </c>
      <c r="AZ108" s="22">
        <f>+[4]БПр!$O$728/1000</f>
        <v>21.297000000000001</v>
      </c>
      <c r="BA108" s="22">
        <f>+[4]БПр!$N$730/1000</f>
        <v>9.0709999999999997</v>
      </c>
      <c r="BB108" s="22">
        <f>+([4]БПр!$P$730+[4]БПр!$L$730)/1000</f>
        <v>2.4209999999999998</v>
      </c>
      <c r="BC108" s="22">
        <v>177.67</v>
      </c>
      <c r="BD108" s="22">
        <v>177.67</v>
      </c>
      <c r="BE108" s="22">
        <f t="shared" si="634"/>
        <v>100</v>
      </c>
      <c r="BF108" s="22">
        <v>51.45</v>
      </c>
      <c r="BG108" s="22">
        <v>53.61</v>
      </c>
      <c r="BH108" s="22">
        <f t="shared" si="635"/>
        <v>104.19825072886297</v>
      </c>
      <c r="BI108" s="22"/>
      <c r="BJ108" s="241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19"/>
      <c r="CX108" s="19"/>
      <c r="CY108" s="19"/>
      <c r="CZ108" s="19"/>
      <c r="DA108" s="21"/>
      <c r="DB108" s="21"/>
      <c r="DC108" s="79"/>
      <c r="DD108" s="79"/>
      <c r="DE108" s="79"/>
      <c r="DF108" s="79"/>
      <c r="DG108" s="79"/>
      <c r="DH108" s="51"/>
      <c r="DI108" s="39"/>
      <c r="DJ108" s="80"/>
      <c r="DK108" s="39"/>
      <c r="DL108" s="39"/>
      <c r="DM108" s="48"/>
      <c r="DN108" s="39"/>
      <c r="DO108" s="39"/>
      <c r="DP108" s="39"/>
      <c r="DQ108" s="39"/>
      <c r="DR108" s="39"/>
      <c r="DS108" s="39"/>
      <c r="DT108" s="39"/>
      <c r="DU108" s="19">
        <f t="shared" si="636"/>
        <v>928.58529661016973</v>
      </c>
      <c r="DV108" s="40">
        <f>+(BG108*AZ108)</f>
        <v>1141.73217</v>
      </c>
      <c r="DW108" s="40">
        <f t="shared" si="638"/>
        <v>3783.83799</v>
      </c>
      <c r="DX108" s="46"/>
      <c r="DY108" s="21">
        <f t="shared" si="618"/>
        <v>30.17391793774976</v>
      </c>
      <c r="DZ108" s="19">
        <f t="shared" si="619"/>
        <v>5.8256216299999997</v>
      </c>
      <c r="EA108" s="19">
        <f t="shared" si="620"/>
        <v>5.8256216299999997</v>
      </c>
      <c r="EB108" s="19"/>
      <c r="EC108" s="48">
        <f>+(BC108-BF108)*AZ108</f>
        <v>2688.1073399999996</v>
      </c>
      <c r="ED108" s="48">
        <f>+(BD108-BG108)*AZ108</f>
        <v>2642.1058199999998</v>
      </c>
      <c r="EE108" s="22">
        <v>177.67</v>
      </c>
      <c r="EF108" s="22">
        <v>188.33</v>
      </c>
      <c r="EG108" s="22">
        <f t="shared" si="621"/>
        <v>105.99988743175552</v>
      </c>
      <c r="EH108" s="22">
        <v>53.61</v>
      </c>
      <c r="EI108" s="22">
        <v>58.14</v>
      </c>
      <c r="EJ108" s="22">
        <f t="shared" si="622"/>
        <v>108.44991606043648</v>
      </c>
      <c r="EK108" s="241"/>
      <c r="EL108" s="19">
        <v>32.42</v>
      </c>
      <c r="EM108" s="19">
        <v>21.4</v>
      </c>
      <c r="EN108" s="40">
        <f>+(EI108*EM108)</f>
        <v>1244.1959999999999</v>
      </c>
      <c r="EO108" s="40">
        <f t="shared" si="642"/>
        <v>4030.2620000000002</v>
      </c>
      <c r="EP108" s="40"/>
      <c r="EQ108" s="21">
        <f t="shared" si="623"/>
        <v>30.871342855625763</v>
      </c>
      <c r="ER108" s="21"/>
      <c r="ES108" s="21">
        <f t="shared" si="654"/>
        <v>5760.0613999999996</v>
      </c>
      <c r="ET108" s="21"/>
      <c r="EU108" s="19">
        <f t="shared" si="624"/>
        <v>6105.6586000000007</v>
      </c>
      <c r="EV108" s="21"/>
      <c r="EW108" s="39"/>
      <c r="EX108" s="39">
        <f t="shared" si="625"/>
        <v>5825.6216299999996</v>
      </c>
      <c r="EY108" s="39">
        <f t="shared" si="559"/>
        <v>6175.1523700000007</v>
      </c>
      <c r="EZ108" s="39"/>
      <c r="FA108" s="39"/>
      <c r="FB108" s="39"/>
      <c r="FC108" s="39"/>
      <c r="FD108" s="39"/>
      <c r="FE108" s="39"/>
      <c r="FF108" s="39"/>
      <c r="FG108" s="39"/>
      <c r="FH108" s="39"/>
      <c r="FI108" s="39"/>
      <c r="FJ108" s="19">
        <f>+(EE108-EH108)*EM108</f>
        <v>2654.8839999999996</v>
      </c>
      <c r="FK108" s="19">
        <f>+(EF108-EI108)*EM108</f>
        <v>2786.0659999999998</v>
      </c>
      <c r="FL108" s="19">
        <f t="shared" si="626"/>
        <v>5440.9499999999989</v>
      </c>
      <c r="FM108" s="19">
        <v>30.635999999999999</v>
      </c>
      <c r="FN108" s="19">
        <v>19.109000000000002</v>
      </c>
      <c r="FO108" s="22">
        <v>220.38</v>
      </c>
      <c r="FP108" s="22">
        <v>222.06</v>
      </c>
      <c r="FQ108" s="22"/>
      <c r="FR108" s="22">
        <v>73.56</v>
      </c>
      <c r="FS108" s="22">
        <v>73.56</v>
      </c>
      <c r="FT108" s="22"/>
      <c r="FU108" s="241"/>
      <c r="FV108" s="19"/>
      <c r="FW108" s="19"/>
      <c r="FX108" s="19"/>
      <c r="FY108" s="19"/>
      <c r="FZ108" s="19"/>
      <c r="GA108" s="19"/>
      <c r="GB108" s="19"/>
      <c r="GC108" s="20"/>
      <c r="GD108" s="20"/>
      <c r="GE108" s="21"/>
      <c r="GF108" s="21"/>
      <c r="GG108" s="21"/>
      <c r="GH108" s="21"/>
      <c r="GI108" s="21"/>
      <c r="GJ108" s="21"/>
      <c r="GK108" s="21"/>
      <c r="GL108" s="21"/>
      <c r="GM108" s="19"/>
      <c r="GN108" s="19"/>
      <c r="GO108" s="22">
        <v>222.06</v>
      </c>
      <c r="GP108" s="22">
        <v>229.32</v>
      </c>
      <c r="GQ108" s="22"/>
      <c r="GR108" s="22">
        <v>73.56</v>
      </c>
      <c r="GS108" s="22">
        <v>76.5</v>
      </c>
      <c r="GT108" s="22"/>
      <c r="GU108" s="241"/>
      <c r="GV108" s="19"/>
      <c r="GW108" s="19"/>
      <c r="GX108" s="19"/>
      <c r="GY108" s="19"/>
      <c r="GZ108" s="23"/>
      <c r="HA108" s="22">
        <v>229.32</v>
      </c>
      <c r="HB108" s="22">
        <v>235.69</v>
      </c>
      <c r="HC108" s="22"/>
      <c r="HD108" s="22">
        <v>76.5</v>
      </c>
      <c r="HE108" s="22">
        <v>79.56</v>
      </c>
      <c r="HF108" s="22"/>
      <c r="HG108" s="241"/>
    </row>
    <row r="109" spans="2:215" ht="26.25">
      <c r="B109" s="13" t="s">
        <v>258</v>
      </c>
      <c r="C109" s="192" t="s">
        <v>259</v>
      </c>
      <c r="D109" s="73">
        <f t="shared" ref="D109:D112" si="657">+E109+I109</f>
        <v>0</v>
      </c>
      <c r="E109" s="193"/>
      <c r="F109" s="193"/>
      <c r="G109" s="193"/>
      <c r="H109" s="193"/>
      <c r="I109" s="193"/>
      <c r="J109" s="193"/>
      <c r="K109" s="193"/>
      <c r="L109" s="193"/>
      <c r="M109" s="46">
        <f>+N109+R109</f>
        <v>0</v>
      </c>
      <c r="N109" s="46">
        <f>+E109</f>
        <v>0</v>
      </c>
      <c r="O109" s="193"/>
      <c r="P109" s="193"/>
      <c r="Q109" s="193"/>
      <c r="R109" s="46">
        <f>+I109</f>
        <v>0</v>
      </c>
      <c r="S109" s="193"/>
      <c r="T109" s="193"/>
      <c r="U109" s="193"/>
      <c r="V109" s="52"/>
      <c r="W109" s="52"/>
      <c r="X109" s="52">
        <f t="shared" si="567"/>
        <v>0</v>
      </c>
      <c r="Y109" s="52"/>
      <c r="Z109" s="22">
        <f t="shared" si="568"/>
        <v>0</v>
      </c>
      <c r="AA109" s="52"/>
      <c r="AB109" s="22">
        <f t="shared" si="569"/>
        <v>0</v>
      </c>
      <c r="AC109" s="22"/>
      <c r="AD109" s="22"/>
      <c r="AE109" s="22">
        <f t="shared" si="655"/>
        <v>0</v>
      </c>
      <c r="AF109" s="22"/>
      <c r="AG109" s="22">
        <f t="shared" si="632"/>
        <v>0</v>
      </c>
      <c r="AH109" s="52"/>
      <c r="AI109" s="52"/>
      <c r="AJ109" s="52">
        <f t="shared" si="571"/>
        <v>0</v>
      </c>
      <c r="AK109" s="52"/>
      <c r="AL109" s="22">
        <f t="shared" si="572"/>
        <v>0</v>
      </c>
      <c r="AM109" s="52"/>
      <c r="AN109" s="22">
        <f t="shared" si="573"/>
        <v>0</v>
      </c>
      <c r="AO109" s="22">
        <f t="shared" si="574"/>
        <v>0</v>
      </c>
      <c r="AP109" s="22">
        <f t="shared" si="575"/>
        <v>0</v>
      </c>
      <c r="AQ109" s="22"/>
      <c r="AR109" s="22"/>
      <c r="AS109" s="22">
        <f t="shared" si="656"/>
        <v>0</v>
      </c>
      <c r="AT109" s="22"/>
      <c r="AU109" s="22">
        <f t="shared" si="633"/>
        <v>0</v>
      </c>
      <c r="AV109" s="77"/>
      <c r="AW109" s="77">
        <f t="shared" ref="AW109:AW112" si="658">+CY109/$CY$101*100</f>
        <v>0</v>
      </c>
      <c r="AX109" s="78"/>
      <c r="AY109" s="22">
        <f t="shared" si="577"/>
        <v>0</v>
      </c>
      <c r="AZ109" s="22"/>
      <c r="BA109" s="22"/>
      <c r="BB109" s="22"/>
      <c r="BC109" s="22"/>
      <c r="BD109" s="22"/>
      <c r="BE109" s="22">
        <f t="shared" si="634"/>
        <v>0</v>
      </c>
      <c r="BF109" s="22"/>
      <c r="BG109" s="22"/>
      <c r="BH109" s="22">
        <f t="shared" si="635"/>
        <v>0</v>
      </c>
      <c r="BI109" s="22"/>
      <c r="BJ109" s="40"/>
      <c r="BK109" s="19">
        <f t="shared" si="578"/>
        <v>0</v>
      </c>
      <c r="BL109" s="19">
        <f t="shared" si="579"/>
        <v>0</v>
      </c>
      <c r="BM109" s="19">
        <f t="shared" si="580"/>
        <v>0</v>
      </c>
      <c r="BN109" s="19">
        <f t="shared" si="581"/>
        <v>0</v>
      </c>
      <c r="BO109" s="19">
        <f t="shared" si="582"/>
        <v>0</v>
      </c>
      <c r="BP109" s="19">
        <f t="shared" si="583"/>
        <v>0</v>
      </c>
      <c r="BQ109" s="19">
        <f t="shared" si="584"/>
        <v>0</v>
      </c>
      <c r="BR109" s="19">
        <f t="shared" si="585"/>
        <v>0</v>
      </c>
      <c r="BS109" s="19">
        <f t="shared" si="586"/>
        <v>0</v>
      </c>
      <c r="BT109" s="19">
        <f t="shared" si="587"/>
        <v>0</v>
      </c>
      <c r="BU109" s="19">
        <f t="shared" si="588"/>
        <v>0</v>
      </c>
      <c r="BV109" s="19">
        <f t="shared" si="589"/>
        <v>0</v>
      </c>
      <c r="BW109" s="19">
        <f t="shared" ref="BW109:BW156" si="659">+BX109+BY109+BZ109</f>
        <v>0</v>
      </c>
      <c r="BX109" s="19">
        <f t="shared" ref="BX109:BX112" si="660">+((AQ109/1.18*N109/1000)+(AR109/1.18*N109/1000))/2</f>
        <v>0</v>
      </c>
      <c r="BY109" s="19">
        <f t="shared" ref="BY109:BY112" si="661">+((AC109-ROUND(AQ109/1.18,2))*N109/1000+(AD109-ROUND(AR109/1.18,2))*N109/1000)/2</f>
        <v>0</v>
      </c>
      <c r="BZ109" s="19">
        <f t="shared" ref="BZ109:BZ112" si="662">+((AC109*R109/1000)+(R109*AD109/1000))/2</f>
        <v>0</v>
      </c>
      <c r="CA109" s="19">
        <f t="shared" ref="CA109:CA156" si="663">+CB109+CC109+CD109</f>
        <v>0</v>
      </c>
      <c r="CB109" s="19">
        <f t="shared" ref="CB109:CB112" si="664">+AT109/1.18*N109/1000</f>
        <v>0</v>
      </c>
      <c r="CC109" s="19">
        <f t="shared" ref="CC109:CC112" si="665">+(AF109-ROUND(AT109/1.18,2))*N109/1000</f>
        <v>0</v>
      </c>
      <c r="CD109" s="19">
        <f t="shared" si="590"/>
        <v>0</v>
      </c>
      <c r="CE109" s="48">
        <f t="shared" ref="CE109:CE117" si="666">+IF(R109=0,,BN109/R109*1000)</f>
        <v>0</v>
      </c>
      <c r="CF109" s="48">
        <f t="shared" ref="CF109:CF117" si="667">+IF(I109=0,,BR109/I109*1000)</f>
        <v>0</v>
      </c>
      <c r="CG109" s="48">
        <f t="shared" ref="CG109:CG117" si="668">+IF(I109=0,,BV109/I109*1000)</f>
        <v>0</v>
      </c>
      <c r="CH109" s="48">
        <f t="shared" ref="CH109:CH117" si="669">+IF(E109=0,,BL109/E109*1000*1.18)</f>
        <v>0</v>
      </c>
      <c r="CI109" s="48">
        <f t="shared" ref="CI109:CI117" si="670">+IF(E109=0,,BP109/E109*1.18*1000)</f>
        <v>0</v>
      </c>
      <c r="CJ109" s="48">
        <f t="shared" ref="CJ109:CJ117" si="671">+IF(E109=0,,BT109/E109*1.18*1000)</f>
        <v>0</v>
      </c>
      <c r="CK109" s="48">
        <f t="shared" ref="CK109:CK117" si="672">+IF(D109=0,,BK109/D109*1000)</f>
        <v>0</v>
      </c>
      <c r="CL109" s="48">
        <f t="shared" ref="CL109:CL117" si="673">+IF(D109=0,,BO109/D109*1000)</f>
        <v>0</v>
      </c>
      <c r="CM109" s="48">
        <f t="shared" ref="CM109:CM117" si="674">+IF(D109=0,,BS109/D109*1000)</f>
        <v>0</v>
      </c>
      <c r="CN109" s="48">
        <f t="shared" ref="CN109:CN117" si="675">+IF((D109+D109+D109)=0,,(BK109+BO109+BS109)/(D109+D109+D109))*1000</f>
        <v>0</v>
      </c>
      <c r="CO109" s="48">
        <f t="shared" ref="CO109:CO117" si="676">+IF(R109=0,,BZ109/R109*1000)</f>
        <v>0</v>
      </c>
      <c r="CP109" s="48">
        <f t="shared" ref="CP109:CP117" si="677">+IF(R109=0,,CD109/R109*1000)</f>
        <v>0</v>
      </c>
      <c r="CQ109" s="48">
        <f t="shared" ref="CQ109:CQ117" si="678">+IF(N109=0,,BX109/N109*1.18*1000)</f>
        <v>0</v>
      </c>
      <c r="CR109" s="48">
        <f t="shared" ref="CR109:CR117" si="679">+IF(N109=0,,CB109/N109*1.18*1000)</f>
        <v>0</v>
      </c>
      <c r="CS109" s="48">
        <f t="shared" ref="CS109:CS117" si="680">+IF(M109=0,,BW109/M109*1000)</f>
        <v>0</v>
      </c>
      <c r="CT109" s="48">
        <f t="shared" ref="CT109:CT117" si="681">+IF(M109=0,,CA109/M109*1000)</f>
        <v>0</v>
      </c>
      <c r="CU109" s="48">
        <f t="shared" ref="CU109:CU117" si="682">+IF((M109+M109)=0,,(CA109+BW109)/(M109+M109))*1000</f>
        <v>0</v>
      </c>
      <c r="CV109" s="48">
        <f t="shared" si="608"/>
        <v>0</v>
      </c>
      <c r="CW109" s="19">
        <f t="shared" ref="CW109:CW112" si="683">+((AI109*F109)/1.18+(G109*AK109)/1.18+(H109*AM109)/1.18)/1000</f>
        <v>0</v>
      </c>
      <c r="CX109" s="19">
        <f t="shared" ref="CX109:CX112" si="684">+((W109*F109)+(Y109*G109)+(AA109*H109))/1000</f>
        <v>0</v>
      </c>
      <c r="CY109" s="19">
        <f t="shared" ref="CY109:CY112" si="685">+((AQ109*O109)/1.18+(Q109*AT109)/1.18+(AR109*P109)/1.18)/1000</f>
        <v>0</v>
      </c>
      <c r="CZ109" s="19">
        <f t="shared" ref="CZ109:CZ112" si="686">+((AC109*O109)+(AF109*Q109)+(AD109*P109))/1000</f>
        <v>0</v>
      </c>
      <c r="DA109" s="21">
        <f t="shared" si="609"/>
        <v>0</v>
      </c>
      <c r="DB109" s="21">
        <f t="shared" si="610"/>
        <v>0</v>
      </c>
      <c r="DC109" s="79">
        <f t="shared" si="611"/>
        <v>0</v>
      </c>
      <c r="DD109" s="79">
        <f t="shared" si="611"/>
        <v>0</v>
      </c>
      <c r="DE109" s="79">
        <f t="shared" ref="DE109:DF117" si="687">+(O109+S109)*AC109/1000</f>
        <v>0</v>
      </c>
      <c r="DF109" s="79">
        <f t="shared" si="687"/>
        <v>0</v>
      </c>
      <c r="DG109" s="79">
        <f t="shared" ref="DG109:DG117" si="688">+AF109*(Q109+U109)/1000</f>
        <v>0</v>
      </c>
      <c r="DH109" s="51">
        <f t="shared" si="614"/>
        <v>0</v>
      </c>
      <c r="DI109" s="39"/>
      <c r="DJ109" s="80">
        <f t="shared" ref="DJ109:DJ117" si="689">+(F109+J109)*W109/1000</f>
        <v>0</v>
      </c>
      <c r="DK109" s="39">
        <f t="shared" ref="DK109:DK117" si="690">+Y109*(G109+K109)/1000</f>
        <v>0</v>
      </c>
      <c r="DL109" s="39">
        <f t="shared" ref="DL109:DL117" si="691">+(H109+L109)*AA109/1000</f>
        <v>0</v>
      </c>
      <c r="DM109" s="48">
        <f>+AT109-'[2]тарифы (12-13) население 15%'!AP161</f>
        <v>0</v>
      </c>
      <c r="DN109" s="39"/>
      <c r="DO109" s="39"/>
      <c r="DP109" s="39"/>
      <c r="DQ109" s="39"/>
      <c r="DR109" s="39"/>
      <c r="DS109" s="39"/>
      <c r="DT109" s="39"/>
      <c r="DU109" s="19">
        <f t="shared" si="636"/>
        <v>0</v>
      </c>
      <c r="DV109" s="40">
        <f t="shared" si="637"/>
        <v>0</v>
      </c>
      <c r="DW109" s="40">
        <f t="shared" si="638"/>
        <v>0</v>
      </c>
      <c r="DX109" s="46"/>
      <c r="DY109" s="21">
        <f t="shared" si="618"/>
        <v>0</v>
      </c>
      <c r="DZ109" s="19">
        <f t="shared" si="619"/>
        <v>0</v>
      </c>
      <c r="EA109" s="19">
        <f t="shared" si="620"/>
        <v>0</v>
      </c>
      <c r="EB109" s="19"/>
      <c r="EC109" s="48">
        <f t="shared" si="639"/>
        <v>0</v>
      </c>
      <c r="ED109" s="48">
        <f t="shared" si="640"/>
        <v>0</v>
      </c>
      <c r="EE109" s="22"/>
      <c r="EF109" s="22"/>
      <c r="EG109" s="22">
        <f t="shared" si="621"/>
        <v>0</v>
      </c>
      <c r="EH109" s="22"/>
      <c r="EI109" s="22"/>
      <c r="EJ109" s="22">
        <f t="shared" si="622"/>
        <v>0</v>
      </c>
      <c r="EK109" s="40"/>
      <c r="EL109" s="19"/>
      <c r="EM109" s="19"/>
      <c r="EN109" s="40">
        <f t="shared" si="641"/>
        <v>0</v>
      </c>
      <c r="EO109" s="40">
        <f t="shared" si="642"/>
        <v>0</v>
      </c>
      <c r="EP109" s="40"/>
      <c r="EQ109" s="21">
        <f t="shared" si="623"/>
        <v>0</v>
      </c>
      <c r="ER109" s="21"/>
      <c r="ES109" s="21">
        <f t="shared" si="654"/>
        <v>0</v>
      </c>
      <c r="ET109" s="21"/>
      <c r="EU109" s="19">
        <f t="shared" si="624"/>
        <v>0</v>
      </c>
      <c r="EV109" s="21"/>
      <c r="EW109" s="39"/>
      <c r="EX109" s="39">
        <f t="shared" si="625"/>
        <v>0</v>
      </c>
      <c r="EY109" s="39">
        <f t="shared" si="559"/>
        <v>0</v>
      </c>
      <c r="EZ109" s="39"/>
      <c r="FA109" s="39"/>
      <c r="FB109" s="39"/>
      <c r="FC109" s="39"/>
      <c r="FD109" s="39"/>
      <c r="FE109" s="39"/>
      <c r="FF109" s="39"/>
      <c r="FG109" s="39"/>
      <c r="FH109" s="39"/>
      <c r="FI109" s="39"/>
      <c r="FJ109" s="19">
        <f t="shared" si="643"/>
        <v>0</v>
      </c>
      <c r="FK109" s="19">
        <f t="shared" si="644"/>
        <v>0</v>
      </c>
      <c r="FL109" s="19">
        <f t="shared" si="626"/>
        <v>0</v>
      </c>
      <c r="FM109" s="19"/>
      <c r="FN109" s="19"/>
      <c r="FO109" s="22"/>
      <c r="FP109" s="22"/>
      <c r="FQ109" s="22"/>
      <c r="FR109" s="22"/>
      <c r="FS109" s="22"/>
      <c r="FT109" s="22"/>
      <c r="FU109" s="40"/>
      <c r="FV109" s="19"/>
      <c r="FW109" s="19"/>
      <c r="FX109" s="19"/>
      <c r="FY109" s="19"/>
      <c r="FZ109" s="19"/>
      <c r="GA109" s="19"/>
      <c r="GB109" s="19"/>
      <c r="GC109" s="20"/>
      <c r="GD109" s="20"/>
      <c r="GE109" s="21"/>
      <c r="GF109" s="21"/>
      <c r="GG109" s="21"/>
      <c r="GH109" s="21"/>
      <c r="GI109" s="21"/>
      <c r="GJ109" s="21"/>
      <c r="GK109" s="21"/>
      <c r="GL109" s="21"/>
      <c r="GM109" s="19"/>
      <c r="GN109" s="19"/>
      <c r="GO109" s="22"/>
      <c r="GP109" s="22"/>
      <c r="GQ109" s="22"/>
      <c r="GR109" s="22"/>
      <c r="GS109" s="22"/>
      <c r="GT109" s="22"/>
      <c r="GU109" s="43"/>
      <c r="GV109" s="19"/>
      <c r="GW109" s="19"/>
      <c r="GX109" s="19"/>
      <c r="GY109" s="19"/>
      <c r="GZ109" s="23"/>
      <c r="HA109" s="22"/>
      <c r="HB109" s="22"/>
      <c r="HC109" s="22"/>
      <c r="HD109" s="22"/>
      <c r="HE109" s="22"/>
      <c r="HF109" s="22"/>
      <c r="HG109" s="233"/>
    </row>
    <row r="110" spans="2:215" ht="15.75">
      <c r="B110" s="10"/>
      <c r="C110" s="184" t="s">
        <v>205</v>
      </c>
      <c r="D110" s="73">
        <f t="shared" si="657"/>
        <v>35350</v>
      </c>
      <c r="E110" s="46">
        <v>22680</v>
      </c>
      <c r="F110" s="74" t="e">
        <f>+E110*#REF!</f>
        <v>#REF!</v>
      </c>
      <c r="G110" s="74" t="e">
        <f>+E110*#REF!</f>
        <v>#REF!</v>
      </c>
      <c r="H110" s="74" t="e">
        <f>+E110*#REF!</f>
        <v>#REF!</v>
      </c>
      <c r="I110" s="46">
        <f>5170+7500</f>
        <v>12670</v>
      </c>
      <c r="J110" s="75" t="e">
        <f>+I110*#REF!</f>
        <v>#REF!</v>
      </c>
      <c r="K110" s="75" t="e">
        <f>+I110*#REF!</f>
        <v>#REF!</v>
      </c>
      <c r="L110" s="75" t="e">
        <f>+I110*#REF!</f>
        <v>#REF!</v>
      </c>
      <c r="M110" s="46">
        <f>+N110+R110</f>
        <v>35350</v>
      </c>
      <c r="N110" s="46">
        <f>+E110</f>
        <v>22680</v>
      </c>
      <c r="O110" s="74">
        <v>11340</v>
      </c>
      <c r="P110" s="74"/>
      <c r="Q110" s="74">
        <v>11340</v>
      </c>
      <c r="R110" s="46">
        <f>+I110</f>
        <v>12670</v>
      </c>
      <c r="S110" s="74">
        <v>6335</v>
      </c>
      <c r="T110" s="74"/>
      <c r="U110" s="74">
        <v>6335</v>
      </c>
      <c r="V110" s="52">
        <v>54.62</v>
      </c>
      <c r="W110" s="52"/>
      <c r="X110" s="52">
        <f t="shared" si="567"/>
        <v>0</v>
      </c>
      <c r="Y110" s="52"/>
      <c r="Z110" s="22">
        <f t="shared" si="568"/>
        <v>0</v>
      </c>
      <c r="AA110" s="52">
        <v>57.39</v>
      </c>
      <c r="AB110" s="22">
        <f t="shared" si="569"/>
        <v>0</v>
      </c>
      <c r="AC110" s="22">
        <v>57.39</v>
      </c>
      <c r="AD110" s="22">
        <v>57.39</v>
      </c>
      <c r="AE110" s="22">
        <f t="shared" si="655"/>
        <v>107.26607422895975</v>
      </c>
      <c r="AF110" s="22">
        <v>61.56</v>
      </c>
      <c r="AG110" s="22">
        <f t="shared" si="632"/>
        <v>107.26607422895975</v>
      </c>
      <c r="AH110" s="52">
        <v>64.45</v>
      </c>
      <c r="AI110" s="52"/>
      <c r="AJ110" s="52">
        <f t="shared" si="571"/>
        <v>0</v>
      </c>
      <c r="AK110" s="52"/>
      <c r="AL110" s="22">
        <f t="shared" si="572"/>
        <v>0</v>
      </c>
      <c r="AM110" s="52">
        <v>67.72</v>
      </c>
      <c r="AN110" s="22">
        <f t="shared" si="573"/>
        <v>0</v>
      </c>
      <c r="AO110" s="22">
        <f t="shared" si="574"/>
        <v>105.0714024166972</v>
      </c>
      <c r="AP110" s="22">
        <f t="shared" si="575"/>
        <v>105.07370054305663</v>
      </c>
      <c r="AQ110" s="22">
        <v>67.72</v>
      </c>
      <c r="AR110" s="22">
        <v>67.72</v>
      </c>
      <c r="AS110" s="22">
        <f t="shared" si="656"/>
        <v>107.26520968694626</v>
      </c>
      <c r="AT110" s="22">
        <v>72.64</v>
      </c>
      <c r="AU110" s="22">
        <f t="shared" si="633"/>
        <v>107.26520968694626</v>
      </c>
      <c r="AV110" s="77"/>
      <c r="AW110" s="77">
        <f t="shared" si="658"/>
        <v>100</v>
      </c>
      <c r="AX110" s="78" t="s">
        <v>260</v>
      </c>
      <c r="AY110" s="22">
        <f t="shared" si="577"/>
        <v>35.35</v>
      </c>
      <c r="AZ110" s="22">
        <f>+[3]БПр!$AC$558/1000</f>
        <v>22.68</v>
      </c>
      <c r="BA110" s="22">
        <f>+[3]БПр!$AB$558/1000</f>
        <v>5.17</v>
      </c>
      <c r="BB110" s="22">
        <f>+[3]БПр!$AD$558/1000</f>
        <v>7.5</v>
      </c>
      <c r="BC110" s="22">
        <v>61.56</v>
      </c>
      <c r="BD110" s="22">
        <v>64.14</v>
      </c>
      <c r="BE110" s="22">
        <f t="shared" si="634"/>
        <v>104.19103313840156</v>
      </c>
      <c r="BF110" s="22">
        <v>72.64</v>
      </c>
      <c r="BG110" s="22">
        <v>75.69</v>
      </c>
      <c r="BH110" s="22">
        <f t="shared" si="635"/>
        <v>104.1987885462555</v>
      </c>
      <c r="BI110" s="194"/>
      <c r="BJ110" s="40" t="s">
        <v>261</v>
      </c>
      <c r="BK110" s="19">
        <f t="shared" si="578"/>
        <v>0</v>
      </c>
      <c r="BL110" s="19">
        <f t="shared" si="579"/>
        <v>0</v>
      </c>
      <c r="BM110" s="19">
        <f t="shared" si="580"/>
        <v>0</v>
      </c>
      <c r="BN110" s="19">
        <f t="shared" si="581"/>
        <v>0</v>
      </c>
      <c r="BO110" s="19">
        <f t="shared" si="582"/>
        <v>0</v>
      </c>
      <c r="BP110" s="19">
        <f t="shared" si="583"/>
        <v>0</v>
      </c>
      <c r="BQ110" s="19">
        <f t="shared" si="584"/>
        <v>0</v>
      </c>
      <c r="BR110" s="19">
        <f t="shared" si="585"/>
        <v>0</v>
      </c>
      <c r="BS110" s="19">
        <f t="shared" si="586"/>
        <v>2028.7326559322037</v>
      </c>
      <c r="BT110" s="19">
        <f t="shared" si="587"/>
        <v>1301.6013559322037</v>
      </c>
      <c r="BU110" s="19">
        <f t="shared" si="588"/>
        <v>0</v>
      </c>
      <c r="BV110" s="19">
        <f t="shared" si="589"/>
        <v>727.13130000000001</v>
      </c>
      <c r="BW110" s="19">
        <f t="shared" si="659"/>
        <v>2028.7326559322037</v>
      </c>
      <c r="BX110" s="19">
        <f t="shared" si="660"/>
        <v>1301.6013559322037</v>
      </c>
      <c r="BY110" s="19">
        <f t="shared" si="661"/>
        <v>0</v>
      </c>
      <c r="BZ110" s="19">
        <f t="shared" si="662"/>
        <v>727.13130000000001</v>
      </c>
      <c r="CA110" s="19">
        <f t="shared" si="663"/>
        <v>2176.1306237288136</v>
      </c>
      <c r="CB110" s="19">
        <f t="shared" si="664"/>
        <v>1396.1654237288137</v>
      </c>
      <c r="CC110" s="19">
        <f t="shared" si="665"/>
        <v>0</v>
      </c>
      <c r="CD110" s="19">
        <f t="shared" si="590"/>
        <v>779.9652000000001</v>
      </c>
      <c r="CE110" s="48">
        <f t="shared" si="666"/>
        <v>0</v>
      </c>
      <c r="CF110" s="48">
        <f t="shared" si="667"/>
        <v>0</v>
      </c>
      <c r="CG110" s="48">
        <f t="shared" si="668"/>
        <v>57.39</v>
      </c>
      <c r="CH110" s="48">
        <f t="shared" si="669"/>
        <v>0</v>
      </c>
      <c r="CI110" s="48">
        <f t="shared" si="670"/>
        <v>0</v>
      </c>
      <c r="CJ110" s="48">
        <f t="shared" si="671"/>
        <v>67.720000000000013</v>
      </c>
      <c r="CK110" s="48">
        <f t="shared" si="672"/>
        <v>0</v>
      </c>
      <c r="CL110" s="48">
        <f t="shared" si="673"/>
        <v>0</v>
      </c>
      <c r="CM110" s="48">
        <f t="shared" si="674"/>
        <v>57.389891256922311</v>
      </c>
      <c r="CN110" s="48">
        <f t="shared" si="675"/>
        <v>19.12996375230744</v>
      </c>
      <c r="CO110" s="48">
        <f t="shared" si="676"/>
        <v>57.39</v>
      </c>
      <c r="CP110" s="48">
        <f t="shared" si="677"/>
        <v>61.560000000000009</v>
      </c>
      <c r="CQ110" s="48">
        <f t="shared" si="678"/>
        <v>67.720000000000013</v>
      </c>
      <c r="CR110" s="48">
        <f t="shared" si="679"/>
        <v>72.640000000000015</v>
      </c>
      <c r="CS110" s="48">
        <f t="shared" si="680"/>
        <v>57.389891256922311</v>
      </c>
      <c r="CT110" s="48">
        <f t="shared" si="681"/>
        <v>61.55956502768921</v>
      </c>
      <c r="CU110" s="48">
        <f t="shared" si="682"/>
        <v>59.474728142305764</v>
      </c>
      <c r="CV110" s="48">
        <f t="shared" si="608"/>
        <v>310.8982793296301</v>
      </c>
      <c r="CW110" s="19" t="e">
        <f t="shared" si="683"/>
        <v>#REF!</v>
      </c>
      <c r="CX110" s="19" t="e">
        <f t="shared" si="684"/>
        <v>#REF!</v>
      </c>
      <c r="CY110" s="19">
        <f t="shared" si="685"/>
        <v>1348.8833898305086</v>
      </c>
      <c r="CZ110" s="19">
        <f t="shared" si="686"/>
        <v>1348.893</v>
      </c>
      <c r="DA110" s="21" t="e">
        <f t="shared" si="609"/>
        <v>#REF!</v>
      </c>
      <c r="DB110" s="21">
        <f t="shared" si="610"/>
        <v>99.999287551385365</v>
      </c>
      <c r="DC110" s="79" t="e">
        <f t="shared" si="611"/>
        <v>#REF!</v>
      </c>
      <c r="DD110" s="79" t="e">
        <f t="shared" si="611"/>
        <v>#REF!</v>
      </c>
      <c r="DE110" s="79">
        <f t="shared" si="687"/>
        <v>1014.36825</v>
      </c>
      <c r="DF110" s="79">
        <f t="shared" si="687"/>
        <v>0</v>
      </c>
      <c r="DG110" s="79">
        <f t="shared" si="688"/>
        <v>1088.0730000000001</v>
      </c>
      <c r="DH110" s="51">
        <f t="shared" si="614"/>
        <v>2102.4412499999999</v>
      </c>
      <c r="DI110" s="39"/>
      <c r="DJ110" s="80" t="e">
        <f t="shared" si="689"/>
        <v>#REF!</v>
      </c>
      <c r="DK110" s="39" t="e">
        <f t="shared" si="690"/>
        <v>#REF!</v>
      </c>
      <c r="DL110" s="39" t="e">
        <f t="shared" si="691"/>
        <v>#REF!</v>
      </c>
      <c r="DM110" s="48">
        <f>+AT110-'[2]тарифы (12-13) население 15%'!AP162</f>
        <v>0</v>
      </c>
      <c r="DN110" s="39"/>
      <c r="DO110" s="39"/>
      <c r="DP110" s="39"/>
      <c r="DQ110" s="39"/>
      <c r="DR110" s="39"/>
      <c r="DS110" s="39"/>
      <c r="DT110" s="39"/>
      <c r="DU110" s="19">
        <f t="shared" si="636"/>
        <v>1396.1654237288137</v>
      </c>
      <c r="DV110" s="40">
        <f t="shared" si="637"/>
        <v>1454.7874576271186</v>
      </c>
      <c r="DW110" s="40">
        <f t="shared" si="638"/>
        <v>1454.6951999999999</v>
      </c>
      <c r="DX110" s="21">
        <f>+'[1]тарифы (НВВ) население на 4,2%'!CO169</f>
        <v>99.999287551385365</v>
      </c>
      <c r="DY110" s="21">
        <f t="shared" si="618"/>
        <v>100.00634205894944</v>
      </c>
      <c r="DZ110" s="19">
        <f t="shared" si="619"/>
        <v>2.1761460000000001</v>
      </c>
      <c r="EA110" s="19">
        <f t="shared" si="620"/>
        <v>2.2673490000000003</v>
      </c>
      <c r="EB110" s="19"/>
      <c r="EC110" s="48"/>
      <c r="ED110" s="48"/>
      <c r="EE110" s="22">
        <v>61.23</v>
      </c>
      <c r="EF110" s="22">
        <v>61.23</v>
      </c>
      <c r="EG110" s="22">
        <f t="shared" si="621"/>
        <v>100</v>
      </c>
      <c r="EH110" s="22">
        <v>72.25</v>
      </c>
      <c r="EI110" s="22">
        <v>72.25</v>
      </c>
      <c r="EJ110" s="22">
        <f t="shared" si="622"/>
        <v>100</v>
      </c>
      <c r="EK110" s="40" t="s">
        <v>262</v>
      </c>
      <c r="EL110" s="19">
        <v>35.35</v>
      </c>
      <c r="EM110" s="19">
        <v>22.68</v>
      </c>
      <c r="EN110" s="40">
        <f t="shared" si="641"/>
        <v>1388.6694915254236</v>
      </c>
      <c r="EO110" s="40">
        <f t="shared" si="642"/>
        <v>1388.6963999999998</v>
      </c>
      <c r="EP110" s="40"/>
      <c r="EQ110" s="21">
        <f t="shared" si="623"/>
        <v>99.99806232128374</v>
      </c>
      <c r="ER110" s="21"/>
      <c r="ES110" s="21">
        <f t="shared" si="654"/>
        <v>2164.4805000000001</v>
      </c>
      <c r="ET110" s="21"/>
      <c r="EU110" s="19">
        <f t="shared" si="624"/>
        <v>2164.4805000000001</v>
      </c>
      <c r="EV110" s="21"/>
      <c r="EW110" s="39"/>
      <c r="EX110" s="39">
        <f t="shared" si="625"/>
        <v>2267.3490000000002</v>
      </c>
      <c r="EY110" s="39">
        <f t="shared" si="559"/>
        <v>2164.4805000000001</v>
      </c>
      <c r="EZ110" s="39"/>
      <c r="FA110" s="39"/>
      <c r="FB110" s="39"/>
      <c r="FC110" s="39"/>
      <c r="FD110" s="39"/>
      <c r="FE110" s="39"/>
      <c r="FF110" s="39"/>
      <c r="FG110" s="39"/>
      <c r="FH110" s="39"/>
      <c r="FI110" s="39"/>
      <c r="FJ110" s="19"/>
      <c r="FK110" s="19"/>
      <c r="FL110" s="19">
        <f t="shared" si="626"/>
        <v>0</v>
      </c>
      <c r="FM110" s="19">
        <v>35.35</v>
      </c>
      <c r="FN110" s="19">
        <v>22.68</v>
      </c>
      <c r="FO110" s="22">
        <v>68.48</v>
      </c>
      <c r="FP110" s="22">
        <v>69.53</v>
      </c>
      <c r="FQ110" s="22"/>
      <c r="FR110" s="22">
        <v>68.48</v>
      </c>
      <c r="FS110" s="22">
        <v>69.53</v>
      </c>
      <c r="FT110" s="22"/>
      <c r="FU110" s="40" t="s">
        <v>662</v>
      </c>
      <c r="FV110" s="19"/>
      <c r="FW110" s="19"/>
      <c r="FX110" s="19"/>
      <c r="FY110" s="19"/>
      <c r="FZ110" s="19"/>
      <c r="GA110" s="19"/>
      <c r="GB110" s="19"/>
      <c r="GC110" s="20"/>
      <c r="GD110" s="20"/>
      <c r="GE110" s="21"/>
      <c r="GF110" s="21"/>
      <c r="GG110" s="21"/>
      <c r="GH110" s="21"/>
      <c r="GI110" s="21"/>
      <c r="GJ110" s="21"/>
      <c r="GK110" s="21"/>
      <c r="GL110" s="21"/>
      <c r="GM110" s="19"/>
      <c r="GN110" s="19"/>
      <c r="GO110" s="22" t="s">
        <v>633</v>
      </c>
      <c r="GP110" s="22" t="s">
        <v>633</v>
      </c>
      <c r="GQ110" s="22"/>
      <c r="GR110" s="22" t="s">
        <v>633</v>
      </c>
      <c r="GS110" s="22" t="s">
        <v>633</v>
      </c>
      <c r="GT110" s="22"/>
      <c r="GU110" s="43" t="s">
        <v>633</v>
      </c>
      <c r="GV110" s="19"/>
      <c r="GW110" s="19"/>
      <c r="GX110" s="19"/>
      <c r="GY110" s="19"/>
      <c r="GZ110" s="23"/>
      <c r="HA110" s="22" t="s">
        <v>633</v>
      </c>
      <c r="HB110" s="22" t="s">
        <v>633</v>
      </c>
      <c r="HC110" s="22"/>
      <c r="HD110" s="22" t="s">
        <v>633</v>
      </c>
      <c r="HE110" s="22" t="s">
        <v>633</v>
      </c>
      <c r="HF110" s="22"/>
      <c r="HG110" s="233" t="s">
        <v>633</v>
      </c>
    </row>
    <row r="111" spans="2:215" ht="15.75">
      <c r="B111" s="10" t="s">
        <v>263</v>
      </c>
      <c r="C111" s="192" t="s">
        <v>264</v>
      </c>
      <c r="D111" s="73">
        <f t="shared" si="657"/>
        <v>0</v>
      </c>
      <c r="E111" s="46"/>
      <c r="F111" s="46"/>
      <c r="G111" s="46"/>
      <c r="H111" s="46"/>
      <c r="I111" s="46"/>
      <c r="J111" s="46"/>
      <c r="K111" s="46"/>
      <c r="L111" s="46"/>
      <c r="M111" s="46">
        <f>+N111+R111</f>
        <v>0</v>
      </c>
      <c r="N111" s="46">
        <f>+E111</f>
        <v>0</v>
      </c>
      <c r="O111" s="46"/>
      <c r="P111" s="46"/>
      <c r="Q111" s="46"/>
      <c r="R111" s="46">
        <f>+I111</f>
        <v>0</v>
      </c>
      <c r="S111" s="46"/>
      <c r="T111" s="46"/>
      <c r="U111" s="46"/>
      <c r="V111" s="52"/>
      <c r="W111" s="52"/>
      <c r="X111" s="52"/>
      <c r="Y111" s="52"/>
      <c r="Z111" s="22"/>
      <c r="AA111" s="52"/>
      <c r="AB111" s="22"/>
      <c r="AC111" s="22"/>
      <c r="AD111" s="22"/>
      <c r="AE111" s="22">
        <f t="shared" si="655"/>
        <v>0</v>
      </c>
      <c r="AF111" s="22"/>
      <c r="AG111" s="22">
        <f t="shared" si="632"/>
        <v>0</v>
      </c>
      <c r="AH111" s="52"/>
      <c r="AI111" s="52"/>
      <c r="AJ111" s="52"/>
      <c r="AK111" s="52"/>
      <c r="AL111" s="22"/>
      <c r="AM111" s="52"/>
      <c r="AN111" s="22"/>
      <c r="AO111" s="22"/>
      <c r="AP111" s="22"/>
      <c r="AQ111" s="22"/>
      <c r="AR111" s="22"/>
      <c r="AS111" s="22">
        <f t="shared" si="656"/>
        <v>0</v>
      </c>
      <c r="AT111" s="22"/>
      <c r="AU111" s="22">
        <f t="shared" si="633"/>
        <v>0</v>
      </c>
      <c r="AV111" s="77"/>
      <c r="AW111" s="77">
        <f t="shared" si="658"/>
        <v>0</v>
      </c>
      <c r="AX111" s="78"/>
      <c r="AY111" s="22">
        <f t="shared" si="577"/>
        <v>0</v>
      </c>
      <c r="AZ111" s="22"/>
      <c r="BA111" s="22"/>
      <c r="BB111" s="22"/>
      <c r="BC111" s="22"/>
      <c r="BD111" s="22"/>
      <c r="BE111" s="22">
        <f t="shared" si="634"/>
        <v>0</v>
      </c>
      <c r="BF111" s="22"/>
      <c r="BG111" s="22"/>
      <c r="BH111" s="22">
        <f t="shared" si="635"/>
        <v>0</v>
      </c>
      <c r="BI111" s="22"/>
      <c r="BJ111" s="40"/>
      <c r="BK111" s="19">
        <f t="shared" si="578"/>
        <v>0</v>
      </c>
      <c r="BL111" s="19">
        <f t="shared" si="579"/>
        <v>0</v>
      </c>
      <c r="BM111" s="19">
        <f t="shared" si="580"/>
        <v>0</v>
      </c>
      <c r="BN111" s="19">
        <f t="shared" si="581"/>
        <v>0</v>
      </c>
      <c r="BO111" s="19">
        <f t="shared" si="582"/>
        <v>0</v>
      </c>
      <c r="BP111" s="19">
        <f t="shared" si="583"/>
        <v>0</v>
      </c>
      <c r="BQ111" s="19">
        <f t="shared" si="584"/>
        <v>0</v>
      </c>
      <c r="BR111" s="19">
        <f t="shared" si="585"/>
        <v>0</v>
      </c>
      <c r="BS111" s="19">
        <f t="shared" si="586"/>
        <v>0</v>
      </c>
      <c r="BT111" s="19">
        <f t="shared" si="587"/>
        <v>0</v>
      </c>
      <c r="BU111" s="19">
        <f t="shared" si="588"/>
        <v>0</v>
      </c>
      <c r="BV111" s="19">
        <f t="shared" si="589"/>
        <v>0</v>
      </c>
      <c r="BW111" s="19">
        <f t="shared" si="659"/>
        <v>0</v>
      </c>
      <c r="BX111" s="19">
        <f t="shared" si="660"/>
        <v>0</v>
      </c>
      <c r="BY111" s="19">
        <f t="shared" si="661"/>
        <v>0</v>
      </c>
      <c r="BZ111" s="19">
        <f t="shared" si="662"/>
        <v>0</v>
      </c>
      <c r="CA111" s="19">
        <f t="shared" si="663"/>
        <v>0</v>
      </c>
      <c r="CB111" s="19">
        <f t="shared" si="664"/>
        <v>0</v>
      </c>
      <c r="CC111" s="19">
        <f t="shared" si="665"/>
        <v>0</v>
      </c>
      <c r="CD111" s="19">
        <f t="shared" si="590"/>
        <v>0</v>
      </c>
      <c r="CE111" s="48">
        <f t="shared" si="666"/>
        <v>0</v>
      </c>
      <c r="CF111" s="48">
        <f t="shared" si="667"/>
        <v>0</v>
      </c>
      <c r="CG111" s="48">
        <f t="shared" si="668"/>
        <v>0</v>
      </c>
      <c r="CH111" s="48">
        <f t="shared" si="669"/>
        <v>0</v>
      </c>
      <c r="CI111" s="48">
        <f t="shared" si="670"/>
        <v>0</v>
      </c>
      <c r="CJ111" s="48">
        <f t="shared" si="671"/>
        <v>0</v>
      </c>
      <c r="CK111" s="48">
        <f t="shared" si="672"/>
        <v>0</v>
      </c>
      <c r="CL111" s="48">
        <f t="shared" si="673"/>
        <v>0</v>
      </c>
      <c r="CM111" s="48">
        <f t="shared" si="674"/>
        <v>0</v>
      </c>
      <c r="CN111" s="48">
        <f t="shared" si="675"/>
        <v>0</v>
      </c>
      <c r="CO111" s="48">
        <f t="shared" si="676"/>
        <v>0</v>
      </c>
      <c r="CP111" s="48">
        <f t="shared" si="677"/>
        <v>0</v>
      </c>
      <c r="CQ111" s="48">
        <f t="shared" si="678"/>
        <v>0</v>
      </c>
      <c r="CR111" s="48">
        <f t="shared" si="679"/>
        <v>0</v>
      </c>
      <c r="CS111" s="48">
        <f t="shared" si="680"/>
        <v>0</v>
      </c>
      <c r="CT111" s="48">
        <f t="shared" si="681"/>
        <v>0</v>
      </c>
      <c r="CU111" s="48">
        <f t="shared" si="682"/>
        <v>0</v>
      </c>
      <c r="CV111" s="48">
        <f t="shared" si="608"/>
        <v>0</v>
      </c>
      <c r="CW111" s="19">
        <f t="shared" si="683"/>
        <v>0</v>
      </c>
      <c r="CX111" s="19">
        <f t="shared" si="684"/>
        <v>0</v>
      </c>
      <c r="CY111" s="19">
        <f t="shared" si="685"/>
        <v>0</v>
      </c>
      <c r="CZ111" s="19">
        <f t="shared" si="686"/>
        <v>0</v>
      </c>
      <c r="DA111" s="21">
        <f t="shared" si="609"/>
        <v>0</v>
      </c>
      <c r="DB111" s="21">
        <f t="shared" si="610"/>
        <v>0</v>
      </c>
      <c r="DC111" s="79">
        <f t="shared" si="611"/>
        <v>0</v>
      </c>
      <c r="DD111" s="79">
        <f t="shared" si="611"/>
        <v>0</v>
      </c>
      <c r="DE111" s="79">
        <f t="shared" si="687"/>
        <v>0</v>
      </c>
      <c r="DF111" s="79">
        <f t="shared" si="687"/>
        <v>0</v>
      </c>
      <c r="DG111" s="79">
        <f t="shared" si="688"/>
        <v>0</v>
      </c>
      <c r="DH111" s="51">
        <f t="shared" si="614"/>
        <v>0</v>
      </c>
      <c r="DI111" s="39"/>
      <c r="DJ111" s="80">
        <f t="shared" si="689"/>
        <v>0</v>
      </c>
      <c r="DK111" s="39">
        <f t="shared" si="690"/>
        <v>0</v>
      </c>
      <c r="DL111" s="39">
        <f t="shared" si="691"/>
        <v>0</v>
      </c>
      <c r="DM111" s="48">
        <f>+AT111-'[2]тарифы (12-13) население 15%'!AP163</f>
        <v>0</v>
      </c>
      <c r="DN111" s="39"/>
      <c r="DO111" s="39"/>
      <c r="DP111" s="39"/>
      <c r="DQ111" s="39"/>
      <c r="DR111" s="39"/>
      <c r="DS111" s="39"/>
      <c r="DT111" s="39"/>
      <c r="DU111" s="19">
        <f t="shared" si="636"/>
        <v>0</v>
      </c>
      <c r="DV111" s="40">
        <f t="shared" si="637"/>
        <v>0</v>
      </c>
      <c r="DW111" s="40">
        <f t="shared" si="638"/>
        <v>0</v>
      </c>
      <c r="DX111" s="46"/>
      <c r="DY111" s="21">
        <f t="shared" si="618"/>
        <v>0</v>
      </c>
      <c r="DZ111" s="19">
        <f t="shared" si="619"/>
        <v>0</v>
      </c>
      <c r="EA111" s="19">
        <f t="shared" si="620"/>
        <v>0</v>
      </c>
      <c r="EB111" s="19"/>
      <c r="EC111" s="48">
        <f t="shared" si="639"/>
        <v>0</v>
      </c>
      <c r="ED111" s="48">
        <f t="shared" si="640"/>
        <v>0</v>
      </c>
      <c r="EE111" s="22"/>
      <c r="EF111" s="22"/>
      <c r="EG111" s="22">
        <f t="shared" si="621"/>
        <v>0</v>
      </c>
      <c r="EH111" s="22"/>
      <c r="EI111" s="22"/>
      <c r="EJ111" s="22">
        <f t="shared" si="622"/>
        <v>0</v>
      </c>
      <c r="EK111" s="40"/>
      <c r="EL111" s="19"/>
      <c r="EM111" s="19"/>
      <c r="EN111" s="40">
        <f t="shared" si="641"/>
        <v>0</v>
      </c>
      <c r="EO111" s="40">
        <f t="shared" si="642"/>
        <v>0</v>
      </c>
      <c r="EP111" s="40"/>
      <c r="EQ111" s="21">
        <f t="shared" si="623"/>
        <v>0</v>
      </c>
      <c r="ER111" s="21"/>
      <c r="ES111" s="21">
        <f t="shared" si="654"/>
        <v>0</v>
      </c>
      <c r="ET111" s="21"/>
      <c r="EU111" s="19">
        <f t="shared" si="624"/>
        <v>0</v>
      </c>
      <c r="EV111" s="21"/>
      <c r="EW111" s="39"/>
      <c r="EX111" s="39">
        <f t="shared" si="625"/>
        <v>0</v>
      </c>
      <c r="EY111" s="39">
        <f t="shared" si="559"/>
        <v>0</v>
      </c>
      <c r="EZ111" s="39"/>
      <c r="FA111" s="39"/>
      <c r="FB111" s="39"/>
      <c r="FC111" s="39"/>
      <c r="FD111" s="39"/>
      <c r="FE111" s="39"/>
      <c r="FF111" s="39"/>
      <c r="FG111" s="39"/>
      <c r="FH111" s="39"/>
      <c r="FI111" s="39"/>
      <c r="FJ111" s="19">
        <f t="shared" si="643"/>
        <v>0</v>
      </c>
      <c r="FK111" s="19">
        <f t="shared" si="644"/>
        <v>0</v>
      </c>
      <c r="FL111" s="19">
        <f t="shared" si="626"/>
        <v>0</v>
      </c>
      <c r="FM111" s="19"/>
      <c r="FN111" s="19"/>
      <c r="FO111" s="22"/>
      <c r="FP111" s="22"/>
      <c r="FQ111" s="22"/>
      <c r="FR111" s="22"/>
      <c r="FS111" s="22"/>
      <c r="FT111" s="22"/>
      <c r="FU111" s="40"/>
      <c r="FV111" s="19"/>
      <c r="FW111" s="19"/>
      <c r="FX111" s="19"/>
      <c r="FY111" s="19"/>
      <c r="FZ111" s="19"/>
      <c r="GA111" s="19"/>
      <c r="GB111" s="19"/>
      <c r="GC111" s="20"/>
      <c r="GD111" s="20"/>
      <c r="GE111" s="21"/>
      <c r="GF111" s="21"/>
      <c r="GG111" s="21"/>
      <c r="GH111" s="21"/>
      <c r="GI111" s="21"/>
      <c r="GJ111" s="21"/>
      <c r="GK111" s="21"/>
      <c r="GL111" s="21"/>
      <c r="GM111" s="19"/>
      <c r="GN111" s="19"/>
      <c r="GO111" s="22"/>
      <c r="GP111" s="22"/>
      <c r="GQ111" s="22"/>
      <c r="GR111" s="22"/>
      <c r="GS111" s="22"/>
      <c r="GT111" s="22"/>
      <c r="GU111" s="43"/>
      <c r="GV111" s="19"/>
      <c r="GW111" s="19"/>
      <c r="GX111" s="19"/>
      <c r="GY111" s="19"/>
      <c r="GZ111" s="23"/>
      <c r="HA111" s="22"/>
      <c r="HB111" s="22"/>
      <c r="HC111" s="22"/>
      <c r="HD111" s="22"/>
      <c r="HE111" s="22"/>
      <c r="HF111" s="22"/>
      <c r="HG111" s="233"/>
    </row>
    <row r="112" spans="2:215" ht="15.75">
      <c r="B112" s="10"/>
      <c r="C112" s="184" t="s">
        <v>205</v>
      </c>
      <c r="D112" s="73">
        <f t="shared" si="657"/>
        <v>29391</v>
      </c>
      <c r="E112" s="46"/>
      <c r="F112" s="46"/>
      <c r="G112" s="46"/>
      <c r="H112" s="46"/>
      <c r="I112" s="73">
        <f>22265+7126</f>
        <v>29391</v>
      </c>
      <c r="J112" s="74" t="e">
        <f>+I112*#REF!</f>
        <v>#REF!</v>
      </c>
      <c r="K112" s="74" t="e">
        <f>+I112*#REF!</f>
        <v>#REF!</v>
      </c>
      <c r="L112" s="74" t="e">
        <f>+I112*#REF!</f>
        <v>#REF!</v>
      </c>
      <c r="M112" s="46">
        <f>+N112+R112</f>
        <v>29391</v>
      </c>
      <c r="N112" s="46">
        <f>+E112</f>
        <v>0</v>
      </c>
      <c r="O112" s="46"/>
      <c r="P112" s="46"/>
      <c r="Q112" s="46"/>
      <c r="R112" s="46">
        <f>+I112</f>
        <v>29391</v>
      </c>
      <c r="S112" s="74">
        <v>14695.5</v>
      </c>
      <c r="T112" s="74"/>
      <c r="U112" s="74">
        <v>14695.5</v>
      </c>
      <c r="V112" s="52"/>
      <c r="W112" s="52"/>
      <c r="X112" s="52"/>
      <c r="Y112" s="52"/>
      <c r="Z112" s="22"/>
      <c r="AA112" s="52">
        <v>19.16</v>
      </c>
      <c r="AB112" s="22"/>
      <c r="AC112" s="52">
        <v>19.16</v>
      </c>
      <c r="AD112" s="52">
        <v>19.16</v>
      </c>
      <c r="AE112" s="22">
        <f t="shared" si="655"/>
        <v>110.49060542797496</v>
      </c>
      <c r="AF112" s="22">
        <v>21.17</v>
      </c>
      <c r="AG112" s="22">
        <f t="shared" si="632"/>
        <v>110.49060542797496</v>
      </c>
      <c r="AH112" s="52"/>
      <c r="AI112" s="52"/>
      <c r="AJ112" s="52"/>
      <c r="AK112" s="52"/>
      <c r="AL112" s="22"/>
      <c r="AM112" s="52"/>
      <c r="AN112" s="22"/>
      <c r="AO112" s="22"/>
      <c r="AP112" s="22"/>
      <c r="AQ112" s="22">
        <v>22.61</v>
      </c>
      <c r="AR112" s="22">
        <v>22.61</v>
      </c>
      <c r="AS112" s="22">
        <f t="shared" si="656"/>
        <v>110.48208757187086</v>
      </c>
      <c r="AT112" s="22">
        <v>24.98</v>
      </c>
      <c r="AU112" s="22">
        <f t="shared" si="633"/>
        <v>110.48208757187086</v>
      </c>
      <c r="AV112" s="77"/>
      <c r="AW112" s="77">
        <f t="shared" si="658"/>
        <v>0</v>
      </c>
      <c r="AX112" s="78" t="s">
        <v>265</v>
      </c>
      <c r="AY112" s="22">
        <f t="shared" si="577"/>
        <v>29.391000000000005</v>
      </c>
      <c r="AZ112" s="22">
        <f>+[3]БПр!$AC$586/1000</f>
        <v>0</v>
      </c>
      <c r="BA112" s="22"/>
      <c r="BB112" s="22">
        <f>+[3]БПр!$AD$586/1000+[3]БПр!$R$586/1000+[3]БПр!$V$586/1000</f>
        <v>29.391000000000005</v>
      </c>
      <c r="BC112" s="22">
        <v>21.17</v>
      </c>
      <c r="BD112" s="22">
        <v>22.05</v>
      </c>
      <c r="BE112" s="22">
        <f t="shared" si="634"/>
        <v>104.15682569674067</v>
      </c>
      <c r="BF112" s="22">
        <v>24.98</v>
      </c>
      <c r="BG112" s="22">
        <v>26.02</v>
      </c>
      <c r="BH112" s="22">
        <f t="shared" si="635"/>
        <v>104.16333066453163</v>
      </c>
      <c r="BI112" s="22"/>
      <c r="BJ112" s="40" t="s">
        <v>266</v>
      </c>
      <c r="BK112" s="19">
        <f t="shared" si="578"/>
        <v>0</v>
      </c>
      <c r="BL112" s="19">
        <f t="shared" si="579"/>
        <v>0</v>
      </c>
      <c r="BM112" s="19">
        <f t="shared" si="580"/>
        <v>0</v>
      </c>
      <c r="BN112" s="19">
        <f t="shared" si="581"/>
        <v>0</v>
      </c>
      <c r="BO112" s="19">
        <f t="shared" si="582"/>
        <v>0</v>
      </c>
      <c r="BP112" s="19">
        <f t="shared" si="583"/>
        <v>0</v>
      </c>
      <c r="BQ112" s="19">
        <f t="shared" si="584"/>
        <v>0</v>
      </c>
      <c r="BR112" s="19">
        <f t="shared" si="585"/>
        <v>0</v>
      </c>
      <c r="BS112" s="19">
        <f t="shared" si="586"/>
        <v>563.13156000000004</v>
      </c>
      <c r="BT112" s="19">
        <f t="shared" si="587"/>
        <v>0</v>
      </c>
      <c r="BU112" s="19">
        <f t="shared" si="588"/>
        <v>0</v>
      </c>
      <c r="BV112" s="19">
        <f t="shared" si="589"/>
        <v>563.13156000000004</v>
      </c>
      <c r="BW112" s="19">
        <f t="shared" si="659"/>
        <v>563.13156000000004</v>
      </c>
      <c r="BX112" s="19">
        <f t="shared" si="660"/>
        <v>0</v>
      </c>
      <c r="BY112" s="19">
        <f t="shared" si="661"/>
        <v>0</v>
      </c>
      <c r="BZ112" s="19">
        <f t="shared" si="662"/>
        <v>563.13156000000004</v>
      </c>
      <c r="CA112" s="19">
        <f t="shared" si="663"/>
        <v>622.20747000000006</v>
      </c>
      <c r="CB112" s="19">
        <f t="shared" si="664"/>
        <v>0</v>
      </c>
      <c r="CC112" s="19">
        <f t="shared" si="665"/>
        <v>0</v>
      </c>
      <c r="CD112" s="19">
        <f t="shared" si="590"/>
        <v>622.20747000000006</v>
      </c>
      <c r="CE112" s="48">
        <f t="shared" si="666"/>
        <v>0</v>
      </c>
      <c r="CF112" s="48">
        <f t="shared" si="667"/>
        <v>0</v>
      </c>
      <c r="CG112" s="48">
        <f t="shared" si="668"/>
        <v>19.16</v>
      </c>
      <c r="CH112" s="48">
        <f t="shared" si="669"/>
        <v>0</v>
      </c>
      <c r="CI112" s="48">
        <f t="shared" si="670"/>
        <v>0</v>
      </c>
      <c r="CJ112" s="48">
        <f t="shared" si="671"/>
        <v>0</v>
      </c>
      <c r="CK112" s="48">
        <f t="shared" si="672"/>
        <v>0</v>
      </c>
      <c r="CL112" s="48">
        <f t="shared" si="673"/>
        <v>0</v>
      </c>
      <c r="CM112" s="48">
        <f t="shared" si="674"/>
        <v>19.16</v>
      </c>
      <c r="CN112" s="48">
        <f t="shared" si="675"/>
        <v>6.3866666666666676</v>
      </c>
      <c r="CO112" s="48">
        <f t="shared" si="676"/>
        <v>19.16</v>
      </c>
      <c r="CP112" s="48">
        <f t="shared" si="677"/>
        <v>21.17</v>
      </c>
      <c r="CQ112" s="48">
        <f t="shared" si="678"/>
        <v>0</v>
      </c>
      <c r="CR112" s="48">
        <f t="shared" si="679"/>
        <v>0</v>
      </c>
      <c r="CS112" s="48">
        <f t="shared" si="680"/>
        <v>19.16</v>
      </c>
      <c r="CT112" s="48">
        <f t="shared" si="681"/>
        <v>21.17</v>
      </c>
      <c r="CU112" s="48">
        <f t="shared" si="682"/>
        <v>20.165000000000003</v>
      </c>
      <c r="CV112" s="48">
        <f t="shared" si="608"/>
        <v>315.7359081419624</v>
      </c>
      <c r="CW112" s="19">
        <f t="shared" si="683"/>
        <v>0</v>
      </c>
      <c r="CX112" s="19">
        <f t="shared" si="684"/>
        <v>0</v>
      </c>
      <c r="CY112" s="19">
        <f t="shared" si="685"/>
        <v>0</v>
      </c>
      <c r="CZ112" s="19">
        <f t="shared" si="686"/>
        <v>0</v>
      </c>
      <c r="DA112" s="21">
        <f t="shared" si="609"/>
        <v>0</v>
      </c>
      <c r="DB112" s="21">
        <f t="shared" si="610"/>
        <v>0</v>
      </c>
      <c r="DC112" s="79">
        <f t="shared" si="611"/>
        <v>0</v>
      </c>
      <c r="DD112" s="79">
        <f t="shared" si="611"/>
        <v>0</v>
      </c>
      <c r="DE112" s="79">
        <f t="shared" si="687"/>
        <v>281.56578000000002</v>
      </c>
      <c r="DF112" s="79">
        <f t="shared" si="687"/>
        <v>0</v>
      </c>
      <c r="DG112" s="79">
        <f t="shared" si="688"/>
        <v>311.10373500000003</v>
      </c>
      <c r="DH112" s="51">
        <f t="shared" si="614"/>
        <v>592.66951500000005</v>
      </c>
      <c r="DI112" s="39"/>
      <c r="DJ112" s="80" t="e">
        <f t="shared" si="689"/>
        <v>#REF!</v>
      </c>
      <c r="DK112" s="39" t="e">
        <f t="shared" si="690"/>
        <v>#REF!</v>
      </c>
      <c r="DL112" s="39" t="e">
        <f t="shared" si="691"/>
        <v>#REF!</v>
      </c>
      <c r="DM112" s="48">
        <f>+AT112-'[2]тарифы (12-13) население 15%'!AP164</f>
        <v>24.98</v>
      </c>
      <c r="DN112" s="39"/>
      <c r="DO112" s="39"/>
      <c r="DP112" s="39"/>
      <c r="DQ112" s="39"/>
      <c r="DR112" s="39"/>
      <c r="DS112" s="39"/>
      <c r="DT112" s="39"/>
      <c r="DU112" s="19">
        <f t="shared" si="636"/>
        <v>0</v>
      </c>
      <c r="DV112" s="40">
        <f t="shared" si="637"/>
        <v>0</v>
      </c>
      <c r="DW112" s="40">
        <f t="shared" si="638"/>
        <v>0</v>
      </c>
      <c r="DX112" s="46"/>
      <c r="DY112" s="21">
        <f t="shared" si="618"/>
        <v>0</v>
      </c>
      <c r="DZ112" s="19">
        <f t="shared" si="619"/>
        <v>0.62220747000000021</v>
      </c>
      <c r="EA112" s="19">
        <f t="shared" si="620"/>
        <v>0.64807155000000016</v>
      </c>
      <c r="EB112" s="19"/>
      <c r="EC112" s="48">
        <f t="shared" si="639"/>
        <v>0</v>
      </c>
      <c r="ED112" s="48">
        <f t="shared" si="640"/>
        <v>0</v>
      </c>
      <c r="EE112" s="22">
        <v>22.05</v>
      </c>
      <c r="EF112" s="22">
        <v>23.39</v>
      </c>
      <c r="EG112" s="22">
        <f t="shared" si="621"/>
        <v>106.07709750566895</v>
      </c>
      <c r="EH112" s="22">
        <v>26.02</v>
      </c>
      <c r="EI112" s="22">
        <v>27.6</v>
      </c>
      <c r="EJ112" s="22">
        <f t="shared" si="622"/>
        <v>106.07225211375865</v>
      </c>
      <c r="EK112" s="40" t="s">
        <v>267</v>
      </c>
      <c r="EL112" s="19">
        <v>35.222000000000001</v>
      </c>
      <c r="EM112" s="19"/>
      <c r="EN112" s="40">
        <f t="shared" si="641"/>
        <v>0</v>
      </c>
      <c r="EO112" s="40">
        <f t="shared" si="642"/>
        <v>0</v>
      </c>
      <c r="EP112" s="40"/>
      <c r="EQ112" s="21">
        <f t="shared" si="623"/>
        <v>0</v>
      </c>
      <c r="ER112" s="21"/>
      <c r="ES112" s="21">
        <f t="shared" si="654"/>
        <v>776.64510000000007</v>
      </c>
      <c r="ET112" s="21"/>
      <c r="EU112" s="19">
        <f t="shared" si="624"/>
        <v>823.84258</v>
      </c>
      <c r="EV112" s="21"/>
      <c r="EW112" s="39"/>
      <c r="EX112" s="39">
        <f t="shared" si="625"/>
        <v>648.07155000000012</v>
      </c>
      <c r="EY112" s="39">
        <f t="shared" si="559"/>
        <v>687.45549000000017</v>
      </c>
      <c r="EZ112" s="39"/>
      <c r="FA112" s="39"/>
      <c r="FB112" s="39"/>
      <c r="FC112" s="39"/>
      <c r="FD112" s="39"/>
      <c r="FE112" s="39"/>
      <c r="FF112" s="39"/>
      <c r="FG112" s="39"/>
      <c r="FH112" s="39"/>
      <c r="FI112" s="39"/>
      <c r="FJ112" s="19">
        <f t="shared" si="643"/>
        <v>0</v>
      </c>
      <c r="FK112" s="19">
        <f t="shared" si="644"/>
        <v>0</v>
      </c>
      <c r="FL112" s="19">
        <f t="shared" si="626"/>
        <v>0</v>
      </c>
      <c r="FM112" s="19">
        <v>48.121000000000002</v>
      </c>
      <c r="FN112" s="19"/>
      <c r="FO112" s="22">
        <v>35.39</v>
      </c>
      <c r="FP112" s="22">
        <v>36.42</v>
      </c>
      <c r="FQ112" s="22"/>
      <c r="FR112" s="22">
        <v>42.47</v>
      </c>
      <c r="FS112" s="22">
        <v>43.7</v>
      </c>
      <c r="FT112" s="22"/>
      <c r="FU112" s="40" t="s">
        <v>663</v>
      </c>
      <c r="FV112" s="19"/>
      <c r="FW112" s="19"/>
      <c r="FX112" s="19"/>
      <c r="FY112" s="19"/>
      <c r="FZ112" s="19"/>
      <c r="GA112" s="19"/>
      <c r="GB112" s="19"/>
      <c r="GC112" s="20"/>
      <c r="GD112" s="20"/>
      <c r="GE112" s="21"/>
      <c r="GF112" s="21"/>
      <c r="GG112" s="21"/>
      <c r="GH112" s="21"/>
      <c r="GI112" s="21"/>
      <c r="GJ112" s="21"/>
      <c r="GK112" s="21"/>
      <c r="GL112" s="21"/>
      <c r="GM112" s="19"/>
      <c r="GN112" s="19"/>
      <c r="GO112" s="22">
        <v>36.42</v>
      </c>
      <c r="GP112" s="22">
        <v>37.35</v>
      </c>
      <c r="GQ112" s="22"/>
      <c r="GR112" s="22">
        <v>43.7</v>
      </c>
      <c r="GS112" s="22">
        <v>44.82</v>
      </c>
      <c r="GT112" s="22"/>
      <c r="GU112" s="40" t="s">
        <v>663</v>
      </c>
      <c r="GV112" s="19"/>
      <c r="GW112" s="19"/>
      <c r="GX112" s="19"/>
      <c r="GY112" s="19"/>
      <c r="GZ112" s="23"/>
      <c r="HA112" s="22">
        <v>37.35</v>
      </c>
      <c r="HB112" s="22">
        <v>38.36</v>
      </c>
      <c r="HC112" s="22"/>
      <c r="HD112" s="22">
        <v>44.82</v>
      </c>
      <c r="HE112" s="22">
        <v>46.03</v>
      </c>
      <c r="HF112" s="22"/>
      <c r="HG112" s="236" t="s">
        <v>663</v>
      </c>
    </row>
    <row r="113" spans="2:215" ht="15.75">
      <c r="B113" s="10" t="s">
        <v>268</v>
      </c>
      <c r="C113" s="81" t="s">
        <v>607</v>
      </c>
      <c r="D113" s="82"/>
      <c r="E113" s="73"/>
      <c r="F113" s="74"/>
      <c r="G113" s="74"/>
      <c r="H113" s="74"/>
      <c r="I113" s="75"/>
      <c r="J113" s="73"/>
      <c r="K113" s="73"/>
      <c r="L113" s="75"/>
      <c r="M113" s="82"/>
      <c r="N113" s="75"/>
      <c r="O113" s="74"/>
      <c r="P113" s="74"/>
      <c r="Q113" s="74"/>
      <c r="R113" s="75"/>
      <c r="S113" s="74"/>
      <c r="T113" s="74"/>
      <c r="U113" s="74"/>
      <c r="V113" s="52"/>
      <c r="W113" s="52"/>
      <c r="X113" s="52"/>
      <c r="Y113" s="52"/>
      <c r="Z113" s="22"/>
      <c r="AA113" s="52"/>
      <c r="AB113" s="22"/>
      <c r="AC113" s="52"/>
      <c r="AD113" s="52"/>
      <c r="AE113" s="22"/>
      <c r="AF113" s="52"/>
      <c r="AG113" s="22"/>
      <c r="AH113" s="52"/>
      <c r="AI113" s="52"/>
      <c r="AJ113" s="52"/>
      <c r="AK113" s="52"/>
      <c r="AL113" s="22"/>
      <c r="AM113" s="52"/>
      <c r="AN113" s="22"/>
      <c r="AO113" s="22"/>
      <c r="AP113" s="22"/>
      <c r="AQ113" s="52"/>
      <c r="AR113" s="52"/>
      <c r="AS113" s="22"/>
      <c r="AT113" s="22"/>
      <c r="AU113" s="22"/>
      <c r="AV113" s="77"/>
      <c r="AW113" s="77"/>
      <c r="AX113" s="78"/>
      <c r="AY113" s="22"/>
      <c r="AZ113" s="22"/>
      <c r="BA113" s="22"/>
      <c r="BB113" s="22"/>
      <c r="BC113" s="52"/>
      <c r="BD113" s="52"/>
      <c r="BE113" s="22"/>
      <c r="BF113" s="52"/>
      <c r="BG113" s="52"/>
      <c r="BH113" s="22"/>
      <c r="BI113" s="22"/>
      <c r="BJ113" s="40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19"/>
      <c r="CX113" s="19"/>
      <c r="CY113" s="19"/>
      <c r="CZ113" s="19"/>
      <c r="DA113" s="21"/>
      <c r="DB113" s="21"/>
      <c r="DC113" s="79"/>
      <c r="DD113" s="79"/>
      <c r="DE113" s="79"/>
      <c r="DF113" s="79"/>
      <c r="DG113" s="79"/>
      <c r="DH113" s="51"/>
      <c r="DI113" s="39"/>
      <c r="DJ113" s="80"/>
      <c r="DK113" s="39"/>
      <c r="DL113" s="39"/>
      <c r="DM113" s="48"/>
      <c r="DN113" s="39"/>
      <c r="DO113" s="39"/>
      <c r="DP113" s="39"/>
      <c r="DQ113" s="39"/>
      <c r="DR113" s="39"/>
      <c r="DS113" s="39"/>
      <c r="DT113" s="39"/>
      <c r="DU113" s="19"/>
      <c r="DV113" s="40"/>
      <c r="DW113" s="40"/>
      <c r="DX113" s="21"/>
      <c r="DY113" s="21"/>
      <c r="DZ113" s="19"/>
      <c r="EA113" s="19"/>
      <c r="EB113" s="19"/>
      <c r="EC113" s="48"/>
      <c r="ED113" s="48"/>
      <c r="EE113" s="52"/>
      <c r="EF113" s="52"/>
      <c r="EG113" s="22"/>
      <c r="EH113" s="52"/>
      <c r="EI113" s="52"/>
      <c r="EJ113" s="22"/>
      <c r="EK113" s="40"/>
      <c r="EL113" s="19"/>
      <c r="EM113" s="19"/>
      <c r="EN113" s="40"/>
      <c r="EO113" s="40"/>
      <c r="EP113" s="40"/>
      <c r="EQ113" s="21"/>
      <c r="ER113" s="21"/>
      <c r="ES113" s="19"/>
      <c r="ET113" s="19"/>
      <c r="EU113" s="19"/>
      <c r="EV113" s="21"/>
      <c r="EW113" s="39"/>
      <c r="EX113" s="39"/>
      <c r="EY113" s="39"/>
      <c r="EZ113" s="39"/>
      <c r="FA113" s="39"/>
      <c r="FB113" s="39"/>
      <c r="FC113" s="39"/>
      <c r="FD113" s="39"/>
      <c r="FE113" s="39"/>
      <c r="FF113" s="39"/>
      <c r="FG113" s="39"/>
      <c r="FH113" s="39"/>
      <c r="FI113" s="39"/>
      <c r="FJ113" s="19"/>
      <c r="FK113" s="19"/>
      <c r="FL113" s="19"/>
      <c r="FM113" s="19"/>
      <c r="FN113" s="19"/>
      <c r="FO113" s="52"/>
      <c r="FP113" s="52"/>
      <c r="FQ113" s="22"/>
      <c r="FR113" s="52"/>
      <c r="FS113" s="22"/>
      <c r="FT113" s="22"/>
      <c r="FU113" s="40"/>
      <c r="FV113" s="19"/>
      <c r="FW113" s="19"/>
      <c r="FX113" s="19"/>
      <c r="FY113" s="19"/>
      <c r="FZ113" s="19"/>
      <c r="GA113" s="19"/>
      <c r="GB113" s="19"/>
      <c r="GC113" s="20"/>
      <c r="GD113" s="20"/>
      <c r="GE113" s="19"/>
      <c r="GF113" s="21"/>
      <c r="GG113" s="19"/>
      <c r="GH113" s="19"/>
      <c r="GI113" s="19"/>
      <c r="GJ113" s="21"/>
      <c r="GK113" s="19"/>
      <c r="GL113" s="19"/>
      <c r="GM113" s="19"/>
      <c r="GN113" s="19"/>
      <c r="GO113" s="52"/>
      <c r="GP113" s="52"/>
      <c r="GQ113" s="22"/>
      <c r="GR113" s="22"/>
      <c r="GS113" s="22"/>
      <c r="GT113" s="22"/>
      <c r="GU113" s="43"/>
      <c r="GV113" s="19"/>
      <c r="GW113" s="19"/>
      <c r="GX113" s="19"/>
      <c r="GY113" s="19"/>
      <c r="GZ113" s="23"/>
      <c r="HA113" s="52"/>
      <c r="HB113" s="52"/>
      <c r="HC113" s="22"/>
      <c r="HD113" s="52"/>
      <c r="HE113" s="22"/>
      <c r="HF113" s="22"/>
      <c r="HG113" s="233"/>
    </row>
    <row r="114" spans="2:215" ht="15.75">
      <c r="B114" s="10"/>
      <c r="C114" s="161" t="s">
        <v>153</v>
      </c>
      <c r="D114" s="82"/>
      <c r="E114" s="73"/>
      <c r="F114" s="74"/>
      <c r="G114" s="74"/>
      <c r="H114" s="74"/>
      <c r="I114" s="75"/>
      <c r="J114" s="73"/>
      <c r="K114" s="73"/>
      <c r="L114" s="75"/>
      <c r="M114" s="82"/>
      <c r="N114" s="75"/>
      <c r="O114" s="74"/>
      <c r="P114" s="74"/>
      <c r="Q114" s="74"/>
      <c r="R114" s="75"/>
      <c r="S114" s="74"/>
      <c r="T114" s="74"/>
      <c r="U114" s="74"/>
      <c r="V114" s="52"/>
      <c r="W114" s="52"/>
      <c r="X114" s="52"/>
      <c r="Y114" s="52"/>
      <c r="Z114" s="22"/>
      <c r="AA114" s="52"/>
      <c r="AB114" s="22"/>
      <c r="AC114" s="52"/>
      <c r="AD114" s="52"/>
      <c r="AE114" s="22"/>
      <c r="AF114" s="52"/>
      <c r="AG114" s="22"/>
      <c r="AH114" s="52"/>
      <c r="AI114" s="52"/>
      <c r="AJ114" s="52"/>
      <c r="AK114" s="52"/>
      <c r="AL114" s="22"/>
      <c r="AM114" s="52"/>
      <c r="AN114" s="22"/>
      <c r="AO114" s="22"/>
      <c r="AP114" s="22"/>
      <c r="AQ114" s="52"/>
      <c r="AR114" s="52"/>
      <c r="AS114" s="22"/>
      <c r="AT114" s="22"/>
      <c r="AU114" s="22"/>
      <c r="AV114" s="77"/>
      <c r="AW114" s="77"/>
      <c r="AX114" s="78"/>
      <c r="AY114" s="22"/>
      <c r="AZ114" s="22"/>
      <c r="BA114" s="22"/>
      <c r="BB114" s="22"/>
      <c r="BC114" s="52"/>
      <c r="BD114" s="52"/>
      <c r="BE114" s="22"/>
      <c r="BF114" s="52"/>
      <c r="BG114" s="52"/>
      <c r="BH114" s="22"/>
      <c r="BI114" s="22"/>
      <c r="BJ114" s="40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19"/>
      <c r="CX114" s="19"/>
      <c r="CY114" s="19"/>
      <c r="CZ114" s="19"/>
      <c r="DA114" s="21"/>
      <c r="DB114" s="21"/>
      <c r="DC114" s="79"/>
      <c r="DD114" s="79"/>
      <c r="DE114" s="79"/>
      <c r="DF114" s="79"/>
      <c r="DG114" s="79"/>
      <c r="DH114" s="51"/>
      <c r="DI114" s="39"/>
      <c r="DJ114" s="80"/>
      <c r="DK114" s="39"/>
      <c r="DL114" s="39"/>
      <c r="DM114" s="48"/>
      <c r="DN114" s="39"/>
      <c r="DO114" s="39"/>
      <c r="DP114" s="39"/>
      <c r="DQ114" s="39"/>
      <c r="DR114" s="39"/>
      <c r="DS114" s="39"/>
      <c r="DT114" s="39"/>
      <c r="DU114" s="19"/>
      <c r="DV114" s="40"/>
      <c r="DW114" s="40"/>
      <c r="DX114" s="21"/>
      <c r="DY114" s="21"/>
      <c r="DZ114" s="19"/>
      <c r="EA114" s="19"/>
      <c r="EB114" s="19"/>
      <c r="EC114" s="48"/>
      <c r="ED114" s="48"/>
      <c r="EE114" s="52"/>
      <c r="EF114" s="52"/>
      <c r="EG114" s="22"/>
      <c r="EH114" s="52"/>
      <c r="EI114" s="52"/>
      <c r="EJ114" s="22"/>
      <c r="EK114" s="40"/>
      <c r="EL114" s="19"/>
      <c r="EM114" s="19"/>
      <c r="EN114" s="40"/>
      <c r="EO114" s="40"/>
      <c r="EP114" s="40"/>
      <c r="EQ114" s="21"/>
      <c r="ER114" s="21"/>
      <c r="ES114" s="19"/>
      <c r="ET114" s="19"/>
      <c r="EU114" s="19"/>
      <c r="EV114" s="21"/>
      <c r="EW114" s="39"/>
      <c r="EX114" s="39"/>
      <c r="EY114" s="39"/>
      <c r="EZ114" s="39"/>
      <c r="FA114" s="39"/>
      <c r="FB114" s="39"/>
      <c r="FC114" s="39"/>
      <c r="FD114" s="39"/>
      <c r="FE114" s="39"/>
      <c r="FF114" s="39"/>
      <c r="FG114" s="39"/>
      <c r="FH114" s="39"/>
      <c r="FI114" s="39"/>
      <c r="FJ114" s="19"/>
      <c r="FK114" s="19"/>
      <c r="FL114" s="19"/>
      <c r="FM114" s="19"/>
      <c r="FN114" s="19"/>
      <c r="FO114" s="52">
        <v>9959.61</v>
      </c>
      <c r="FP114" s="52">
        <v>10382.51</v>
      </c>
      <c r="FQ114" s="22"/>
      <c r="FR114" s="52">
        <v>2665.63</v>
      </c>
      <c r="FS114" s="22">
        <v>2737.6</v>
      </c>
      <c r="FT114" s="22"/>
      <c r="FU114" s="40" t="s">
        <v>657</v>
      </c>
      <c r="FV114" s="19"/>
      <c r="FW114" s="19"/>
      <c r="FX114" s="19"/>
      <c r="FY114" s="19"/>
      <c r="FZ114" s="19"/>
      <c r="GA114" s="19"/>
      <c r="GB114" s="19"/>
      <c r="GC114" s="20"/>
      <c r="GD114" s="20"/>
      <c r="GE114" s="19"/>
      <c r="GF114" s="21"/>
      <c r="GG114" s="19"/>
      <c r="GH114" s="19"/>
      <c r="GI114" s="19"/>
      <c r="GJ114" s="21"/>
      <c r="GK114" s="19"/>
      <c r="GL114" s="19"/>
      <c r="GM114" s="19"/>
      <c r="GN114" s="19"/>
      <c r="GO114" s="22">
        <v>10382.51</v>
      </c>
      <c r="GP114" s="22">
        <v>10697.6</v>
      </c>
      <c r="GQ114" s="22"/>
      <c r="GR114" s="22">
        <v>2737.6</v>
      </c>
      <c r="GS114" s="22">
        <v>2841.63</v>
      </c>
      <c r="GT114" s="22"/>
      <c r="GU114" s="40" t="s">
        <v>657</v>
      </c>
      <c r="GV114" s="19"/>
      <c r="GW114" s="19"/>
      <c r="GX114" s="19"/>
      <c r="GY114" s="19"/>
      <c r="GZ114" s="23"/>
      <c r="HA114" s="22">
        <v>10697.6</v>
      </c>
      <c r="HB114" s="22">
        <v>11037.88</v>
      </c>
      <c r="HC114" s="22"/>
      <c r="HD114" s="52">
        <v>2841.63</v>
      </c>
      <c r="HE114" s="22">
        <v>2955.3</v>
      </c>
      <c r="HF114" s="22"/>
      <c r="HG114" s="236" t="s">
        <v>657</v>
      </c>
    </row>
    <row r="115" spans="2:215" ht="15.75">
      <c r="B115" s="15"/>
      <c r="C115" s="81" t="s">
        <v>634</v>
      </c>
      <c r="D115" s="82"/>
      <c r="E115" s="73"/>
      <c r="F115" s="74"/>
      <c r="G115" s="74"/>
      <c r="H115" s="74"/>
      <c r="I115" s="75"/>
      <c r="J115" s="73"/>
      <c r="K115" s="73"/>
      <c r="L115" s="75"/>
      <c r="M115" s="82"/>
      <c r="N115" s="75"/>
      <c r="O115" s="74"/>
      <c r="P115" s="74"/>
      <c r="Q115" s="74"/>
      <c r="R115" s="75"/>
      <c r="S115" s="74"/>
      <c r="T115" s="74"/>
      <c r="U115" s="74"/>
      <c r="V115" s="52"/>
      <c r="W115" s="52"/>
      <c r="X115" s="52"/>
      <c r="Y115" s="52"/>
      <c r="Z115" s="22"/>
      <c r="AA115" s="52"/>
      <c r="AB115" s="22"/>
      <c r="AC115" s="52"/>
      <c r="AD115" s="52"/>
      <c r="AE115" s="22"/>
      <c r="AF115" s="52"/>
      <c r="AG115" s="22"/>
      <c r="AH115" s="52"/>
      <c r="AI115" s="52"/>
      <c r="AJ115" s="52"/>
      <c r="AK115" s="52"/>
      <c r="AL115" s="22"/>
      <c r="AM115" s="52"/>
      <c r="AN115" s="22"/>
      <c r="AO115" s="22"/>
      <c r="AP115" s="22"/>
      <c r="AQ115" s="52"/>
      <c r="AR115" s="52"/>
      <c r="AS115" s="22"/>
      <c r="AT115" s="22"/>
      <c r="AU115" s="22"/>
      <c r="AV115" s="77"/>
      <c r="AW115" s="77"/>
      <c r="AX115" s="78"/>
      <c r="AY115" s="22"/>
      <c r="AZ115" s="22"/>
      <c r="BA115" s="22"/>
      <c r="BB115" s="22"/>
      <c r="BC115" s="52"/>
      <c r="BD115" s="52"/>
      <c r="BE115" s="22"/>
      <c r="BF115" s="52"/>
      <c r="BG115" s="52"/>
      <c r="BH115" s="22"/>
      <c r="BI115" s="22"/>
      <c r="BJ115" s="40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19"/>
      <c r="CX115" s="19"/>
      <c r="CY115" s="19"/>
      <c r="CZ115" s="19"/>
      <c r="DA115" s="21"/>
      <c r="DB115" s="21"/>
      <c r="DC115" s="79"/>
      <c r="DD115" s="79"/>
      <c r="DE115" s="79"/>
      <c r="DF115" s="79"/>
      <c r="DG115" s="79"/>
      <c r="DH115" s="51"/>
      <c r="DI115" s="39"/>
      <c r="DJ115" s="80"/>
      <c r="DK115" s="39"/>
      <c r="DL115" s="39"/>
      <c r="DM115" s="48"/>
      <c r="DN115" s="39"/>
      <c r="DO115" s="39"/>
      <c r="DP115" s="39"/>
      <c r="DQ115" s="39"/>
      <c r="DR115" s="39"/>
      <c r="DS115" s="39"/>
      <c r="DT115" s="39"/>
      <c r="DU115" s="19"/>
      <c r="DV115" s="40"/>
      <c r="DW115" s="40"/>
      <c r="DX115" s="21"/>
      <c r="DY115" s="21"/>
      <c r="DZ115" s="19"/>
      <c r="EA115" s="19"/>
      <c r="EB115" s="19"/>
      <c r="EC115" s="48"/>
      <c r="ED115" s="48"/>
      <c r="EE115" s="52"/>
      <c r="EF115" s="52"/>
      <c r="EG115" s="22"/>
      <c r="EH115" s="52"/>
      <c r="EI115" s="52"/>
      <c r="EJ115" s="22"/>
      <c r="EK115" s="40"/>
      <c r="EL115" s="19"/>
      <c r="EM115" s="19"/>
      <c r="EN115" s="40"/>
      <c r="EO115" s="40"/>
      <c r="EP115" s="40"/>
      <c r="EQ115" s="21"/>
      <c r="ER115" s="21"/>
      <c r="ES115" s="19"/>
      <c r="ET115" s="19"/>
      <c r="EU115" s="19"/>
      <c r="EV115" s="21"/>
      <c r="EW115" s="39"/>
      <c r="EX115" s="39"/>
      <c r="EY115" s="39"/>
      <c r="EZ115" s="39"/>
      <c r="FA115" s="39"/>
      <c r="FB115" s="39"/>
      <c r="FC115" s="39"/>
      <c r="FD115" s="39"/>
      <c r="FE115" s="39"/>
      <c r="FF115" s="39"/>
      <c r="FG115" s="39"/>
      <c r="FH115" s="39"/>
      <c r="FI115" s="39"/>
      <c r="FJ115" s="19"/>
      <c r="FK115" s="19"/>
      <c r="FL115" s="19"/>
      <c r="FM115" s="19"/>
      <c r="FN115" s="19"/>
      <c r="FO115" s="52"/>
      <c r="FP115" s="52"/>
      <c r="FQ115" s="22"/>
      <c r="FR115" s="52"/>
      <c r="FS115" s="22"/>
      <c r="FT115" s="22"/>
      <c r="FU115" s="40"/>
      <c r="FV115" s="19"/>
      <c r="FW115" s="19"/>
      <c r="FX115" s="19"/>
      <c r="FY115" s="19"/>
      <c r="FZ115" s="19"/>
      <c r="GA115" s="19"/>
      <c r="GB115" s="19"/>
      <c r="GC115" s="20"/>
      <c r="GD115" s="20"/>
      <c r="GE115" s="19"/>
      <c r="GF115" s="21"/>
      <c r="GG115" s="19"/>
      <c r="GH115" s="19"/>
      <c r="GI115" s="19"/>
      <c r="GJ115" s="21"/>
      <c r="GK115" s="19"/>
      <c r="GL115" s="19"/>
      <c r="GM115" s="19"/>
      <c r="GN115" s="19"/>
      <c r="GO115" s="22"/>
      <c r="GP115" s="22"/>
      <c r="GQ115" s="22"/>
      <c r="GR115" s="22"/>
      <c r="GS115" s="22"/>
      <c r="GT115" s="22"/>
      <c r="GU115" s="43"/>
      <c r="GV115" s="19"/>
      <c r="GW115" s="19"/>
      <c r="GX115" s="19"/>
      <c r="GY115" s="19"/>
      <c r="GZ115" s="23"/>
      <c r="HA115" s="52"/>
      <c r="HB115" s="52"/>
      <c r="HC115" s="22"/>
      <c r="HD115" s="52"/>
      <c r="HE115" s="22"/>
      <c r="HF115" s="22"/>
      <c r="HG115" s="233"/>
    </row>
    <row r="116" spans="2:215" ht="16.149999999999999" customHeight="1" thickBot="1">
      <c r="B116" s="15"/>
      <c r="C116" s="161" t="s">
        <v>635</v>
      </c>
      <c r="D116" s="173"/>
      <c r="E116" s="173"/>
      <c r="F116" s="74"/>
      <c r="G116" s="74"/>
      <c r="H116" s="74"/>
      <c r="I116" s="173"/>
      <c r="J116" s="173"/>
      <c r="K116" s="173"/>
      <c r="L116" s="173"/>
      <c r="M116" s="173"/>
      <c r="N116" s="173"/>
      <c r="O116" s="76"/>
      <c r="P116" s="76"/>
      <c r="Q116" s="76"/>
      <c r="R116" s="173"/>
      <c r="S116" s="173"/>
      <c r="T116" s="173"/>
      <c r="U116" s="173"/>
      <c r="V116" s="52"/>
      <c r="W116" s="52"/>
      <c r="X116" s="52"/>
      <c r="Y116" s="52"/>
      <c r="Z116" s="22"/>
      <c r="AA116" s="52"/>
      <c r="AB116" s="22"/>
      <c r="AC116" s="22"/>
      <c r="AD116" s="22"/>
      <c r="AE116" s="22"/>
      <c r="AF116" s="22"/>
      <c r="AG116" s="22"/>
      <c r="AH116" s="22"/>
      <c r="AI116" s="22"/>
      <c r="AJ116" s="5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77"/>
      <c r="AW116" s="77"/>
      <c r="AX116" s="78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40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19"/>
      <c r="CX116" s="19"/>
      <c r="CY116" s="19"/>
      <c r="CZ116" s="19"/>
      <c r="DA116" s="21"/>
      <c r="DB116" s="21"/>
      <c r="DC116" s="79"/>
      <c r="DD116" s="79"/>
      <c r="DE116" s="79"/>
      <c r="DF116" s="79"/>
      <c r="DG116" s="79"/>
      <c r="DH116" s="51"/>
      <c r="DI116" s="39"/>
      <c r="DJ116" s="80"/>
      <c r="DK116" s="39"/>
      <c r="DL116" s="39"/>
      <c r="DM116" s="48"/>
      <c r="DN116" s="39"/>
      <c r="DO116" s="39"/>
      <c r="DP116" s="39"/>
      <c r="DQ116" s="39"/>
      <c r="DR116" s="39"/>
      <c r="DS116" s="39"/>
      <c r="DT116" s="39"/>
      <c r="DU116" s="19"/>
      <c r="DV116" s="40"/>
      <c r="DW116" s="40"/>
      <c r="DX116" s="21"/>
      <c r="DY116" s="21"/>
      <c r="DZ116" s="19"/>
      <c r="EA116" s="19"/>
      <c r="EB116" s="19"/>
      <c r="EC116" s="48"/>
      <c r="ED116" s="48"/>
      <c r="EE116" s="22"/>
      <c r="EF116" s="22"/>
      <c r="EG116" s="22"/>
      <c r="EH116" s="22"/>
      <c r="EI116" s="22"/>
      <c r="EJ116" s="22"/>
      <c r="EK116" s="83"/>
      <c r="EL116" s="19"/>
      <c r="EM116" s="19"/>
      <c r="EN116" s="40"/>
      <c r="EO116" s="40"/>
      <c r="EP116" s="40"/>
      <c r="EQ116" s="21"/>
      <c r="ER116" s="21"/>
      <c r="ES116" s="19"/>
      <c r="ET116" s="19"/>
      <c r="EU116" s="19"/>
      <c r="EV116" s="21"/>
      <c r="EW116" s="39"/>
      <c r="EX116" s="39"/>
      <c r="EY116" s="39"/>
      <c r="EZ116" s="39"/>
      <c r="FA116" s="39"/>
      <c r="FB116" s="39"/>
      <c r="FC116" s="39"/>
      <c r="FD116" s="39"/>
      <c r="FE116" s="39"/>
      <c r="FF116" s="39"/>
      <c r="FG116" s="39"/>
      <c r="FH116" s="39"/>
      <c r="FI116" s="39"/>
      <c r="FJ116" s="19"/>
      <c r="FK116" s="19"/>
      <c r="FL116" s="19"/>
      <c r="FM116" s="19"/>
      <c r="FN116" s="19"/>
      <c r="FO116" s="57">
        <v>326.68</v>
      </c>
      <c r="FP116" s="57">
        <v>365.9</v>
      </c>
      <c r="FQ116" s="57">
        <f t="shared" ref="FQ116" si="692">+IF(FO116=0,,FP116/FO116*100)</f>
        <v>112.00563242316639</v>
      </c>
      <c r="FR116" s="57">
        <v>392.02</v>
      </c>
      <c r="FS116" s="57">
        <v>439.08</v>
      </c>
      <c r="FT116" s="57">
        <f t="shared" ref="FT116" si="693">+IF(FR116=0,,FS116/FR116*100)</f>
        <v>112.00448956685885</v>
      </c>
      <c r="FU116" s="83" t="s">
        <v>625</v>
      </c>
      <c r="FV116" s="19"/>
      <c r="FW116" s="19"/>
      <c r="FX116" s="58"/>
      <c r="FY116" s="58"/>
      <c r="FZ116" s="58"/>
      <c r="GA116" s="19"/>
      <c r="GB116" s="19"/>
      <c r="GC116" s="20"/>
      <c r="GD116" s="20"/>
      <c r="GE116" s="19"/>
      <c r="GF116" s="19"/>
      <c r="GG116" s="19"/>
      <c r="GH116" s="19"/>
      <c r="GI116" s="19"/>
      <c r="GJ116" s="19"/>
      <c r="GK116" s="19"/>
      <c r="GL116" s="19"/>
      <c r="GM116" s="19"/>
      <c r="GN116" s="19"/>
      <c r="GO116" s="57">
        <v>365.9</v>
      </c>
      <c r="GP116" s="57">
        <v>622.91</v>
      </c>
      <c r="GQ116" s="57"/>
      <c r="GR116" s="57">
        <v>439.08</v>
      </c>
      <c r="GS116" s="57">
        <v>747.49</v>
      </c>
      <c r="GT116" s="57"/>
      <c r="GU116" s="83" t="s">
        <v>625</v>
      </c>
      <c r="GV116" s="19"/>
      <c r="GW116" s="19"/>
      <c r="GX116" s="19"/>
      <c r="GY116" s="19"/>
      <c r="GZ116" s="23"/>
      <c r="HA116" s="57">
        <v>622.91</v>
      </c>
      <c r="HB116" s="57">
        <v>460</v>
      </c>
      <c r="HC116" s="57"/>
      <c r="HD116" s="57">
        <v>747.49</v>
      </c>
      <c r="HE116" s="57">
        <v>552</v>
      </c>
      <c r="HF116" s="57"/>
      <c r="HG116" s="235" t="s">
        <v>625</v>
      </c>
    </row>
    <row r="117" spans="2:215" ht="16.5" thickBot="1">
      <c r="B117" s="7" t="s">
        <v>269</v>
      </c>
      <c r="C117" s="80" t="s">
        <v>270</v>
      </c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>
        <f t="shared" ref="X117:X161" si="694">+IF(V117=0,,W117/V117*100)</f>
        <v>0</v>
      </c>
      <c r="Y117" s="80"/>
      <c r="Z117" s="80">
        <f t="shared" si="568"/>
        <v>0</v>
      </c>
      <c r="AA117" s="80"/>
      <c r="AB117" s="80">
        <f t="shared" si="569"/>
        <v>0</v>
      </c>
      <c r="AC117" s="80"/>
      <c r="AD117" s="80"/>
      <c r="AE117" s="80">
        <f t="shared" si="655"/>
        <v>0</v>
      </c>
      <c r="AF117" s="80"/>
      <c r="AG117" s="80">
        <f>+IF(AC117=0,,AF117/AC117*100)</f>
        <v>0</v>
      </c>
      <c r="AH117" s="80"/>
      <c r="AI117" s="80"/>
      <c r="AJ117" s="80">
        <f t="shared" si="571"/>
        <v>0</v>
      </c>
      <c r="AK117" s="80"/>
      <c r="AL117" s="80">
        <f t="shared" si="572"/>
        <v>0</v>
      </c>
      <c r="AM117" s="80"/>
      <c r="AN117" s="80">
        <f t="shared" si="573"/>
        <v>0</v>
      </c>
      <c r="AO117" s="80">
        <f t="shared" ref="AO117:AO161" si="695">+IF(V117=0,,AA117/V117*100)</f>
        <v>0</v>
      </c>
      <c r="AP117" s="80">
        <f t="shared" si="575"/>
        <v>0</v>
      </c>
      <c r="AQ117" s="80"/>
      <c r="AR117" s="80"/>
      <c r="AS117" s="80">
        <f t="shared" si="656"/>
        <v>0</v>
      </c>
      <c r="AT117" s="80"/>
      <c r="AU117" s="80">
        <f>+IF(AQ117=0,,AT117/AQ117*100)</f>
        <v>0</v>
      </c>
      <c r="AV117" s="77"/>
      <c r="AW117" s="77" t="e">
        <f>+CY117/$CY$117*100</f>
        <v>#DIV/0!</v>
      </c>
      <c r="AX117" s="78"/>
      <c r="AY117" s="80">
        <f t="shared" si="577"/>
        <v>0</v>
      </c>
      <c r="AZ117" s="80"/>
      <c r="BA117" s="80"/>
      <c r="BB117" s="80"/>
      <c r="BC117" s="80"/>
      <c r="BD117" s="80"/>
      <c r="BE117" s="22">
        <f t="shared" si="634"/>
        <v>0</v>
      </c>
      <c r="BF117" s="80"/>
      <c r="BG117" s="80"/>
      <c r="BH117" s="22">
        <f t="shared" si="635"/>
        <v>0</v>
      </c>
      <c r="BI117" s="22"/>
      <c r="BJ117" s="40"/>
      <c r="BK117" s="80">
        <f t="shared" si="578"/>
        <v>0</v>
      </c>
      <c r="BL117" s="80">
        <f t="shared" si="579"/>
        <v>0</v>
      </c>
      <c r="BM117" s="80">
        <f t="shared" si="580"/>
        <v>0</v>
      </c>
      <c r="BN117" s="80">
        <f t="shared" si="581"/>
        <v>0</v>
      </c>
      <c r="BO117" s="80">
        <f t="shared" si="582"/>
        <v>0</v>
      </c>
      <c r="BP117" s="80">
        <f t="shared" si="583"/>
        <v>0</v>
      </c>
      <c r="BQ117" s="80">
        <f t="shared" si="584"/>
        <v>0</v>
      </c>
      <c r="BR117" s="80">
        <f t="shared" si="585"/>
        <v>0</v>
      </c>
      <c r="BS117" s="80">
        <f t="shared" si="586"/>
        <v>0</v>
      </c>
      <c r="BT117" s="80">
        <f t="shared" si="587"/>
        <v>0</v>
      </c>
      <c r="BU117" s="80">
        <f t="shared" si="588"/>
        <v>0</v>
      </c>
      <c r="BV117" s="80">
        <f t="shared" si="589"/>
        <v>0</v>
      </c>
      <c r="BW117" s="80"/>
      <c r="BX117" s="48">
        <f>+SUM(BX118:BX123)</f>
        <v>0</v>
      </c>
      <c r="BY117" s="48">
        <f>+SUM(BY118:BY123)</f>
        <v>0</v>
      </c>
      <c r="BZ117" s="80">
        <f>+AC117*R117/1000</f>
        <v>0</v>
      </c>
      <c r="CA117" s="80"/>
      <c r="CB117" s="48">
        <f>+SUM(CB118:CB123)</f>
        <v>0</v>
      </c>
      <c r="CC117" s="48">
        <f>+SUM(CC118:CC123)</f>
        <v>0</v>
      </c>
      <c r="CD117" s="80">
        <f t="shared" si="590"/>
        <v>0</v>
      </c>
      <c r="CE117" s="80">
        <f t="shared" si="666"/>
        <v>0</v>
      </c>
      <c r="CF117" s="80">
        <f t="shared" si="667"/>
        <v>0</v>
      </c>
      <c r="CG117" s="80">
        <f t="shared" si="668"/>
        <v>0</v>
      </c>
      <c r="CH117" s="80">
        <f t="shared" si="669"/>
        <v>0</v>
      </c>
      <c r="CI117" s="80">
        <f t="shared" si="670"/>
        <v>0</v>
      </c>
      <c r="CJ117" s="80">
        <f t="shared" si="671"/>
        <v>0</v>
      </c>
      <c r="CK117" s="80">
        <f t="shared" si="672"/>
        <v>0</v>
      </c>
      <c r="CL117" s="80">
        <f t="shared" si="673"/>
        <v>0</v>
      </c>
      <c r="CM117" s="80">
        <f t="shared" si="674"/>
        <v>0</v>
      </c>
      <c r="CN117" s="80">
        <f t="shared" si="675"/>
        <v>0</v>
      </c>
      <c r="CO117" s="80">
        <f t="shared" si="676"/>
        <v>0</v>
      </c>
      <c r="CP117" s="80">
        <f t="shared" si="677"/>
        <v>0</v>
      </c>
      <c r="CQ117" s="80">
        <f t="shared" si="678"/>
        <v>0</v>
      </c>
      <c r="CR117" s="80">
        <f t="shared" si="679"/>
        <v>0</v>
      </c>
      <c r="CS117" s="80">
        <f t="shared" si="680"/>
        <v>0</v>
      </c>
      <c r="CT117" s="80">
        <f t="shared" si="681"/>
        <v>0</v>
      </c>
      <c r="CU117" s="80">
        <f t="shared" si="682"/>
        <v>0</v>
      </c>
      <c r="CV117" s="80">
        <f t="shared" si="608"/>
        <v>0</v>
      </c>
      <c r="CW117" s="48">
        <f>+SUM(CW118:CW123)</f>
        <v>0</v>
      </c>
      <c r="CX117" s="48">
        <f>+SUM(CX118:CX123)</f>
        <v>0</v>
      </c>
      <c r="CY117" s="48">
        <f>+SUM(CY118:CY123)</f>
        <v>0</v>
      </c>
      <c r="CZ117" s="48">
        <f>+SUM(CZ118:CZ123)</f>
        <v>0</v>
      </c>
      <c r="DA117" s="20">
        <f t="shared" si="609"/>
        <v>0</v>
      </c>
      <c r="DB117" s="20">
        <f t="shared" si="610"/>
        <v>0</v>
      </c>
      <c r="DC117" s="20">
        <f t="shared" si="611"/>
        <v>0</v>
      </c>
      <c r="DD117" s="20">
        <f t="shared" si="611"/>
        <v>0</v>
      </c>
      <c r="DE117" s="79">
        <f t="shared" si="687"/>
        <v>0</v>
      </c>
      <c r="DF117" s="79">
        <f t="shared" si="687"/>
        <v>0</v>
      </c>
      <c r="DG117" s="79">
        <f t="shared" si="688"/>
        <v>0</v>
      </c>
      <c r="DH117" s="51">
        <f t="shared" si="614"/>
        <v>0</v>
      </c>
      <c r="DI117" s="39"/>
      <c r="DJ117" s="80">
        <f t="shared" si="689"/>
        <v>0</v>
      </c>
      <c r="DK117" s="39">
        <f t="shared" si="690"/>
        <v>0</v>
      </c>
      <c r="DL117" s="39">
        <f t="shared" si="691"/>
        <v>0</v>
      </c>
      <c r="DM117" s="48">
        <f>+AT117-'[2]тарифы (12-13) население 15%'!AP167</f>
        <v>0</v>
      </c>
      <c r="DN117" s="39"/>
      <c r="DO117" s="39"/>
      <c r="DP117" s="39"/>
      <c r="DQ117" s="39"/>
      <c r="DR117" s="39"/>
      <c r="DS117" s="39"/>
      <c r="DT117" s="39"/>
      <c r="DU117" s="19">
        <f t="shared" si="636"/>
        <v>0</v>
      </c>
      <c r="DV117" s="42">
        <f>+SUM(DV118:DV123)</f>
        <v>7034.2288543220329</v>
      </c>
      <c r="DW117" s="42">
        <f>+SUM(DW118:DW123)</f>
        <v>8752.8139401999979</v>
      </c>
      <c r="DX117" s="42">
        <f>+'[1]тарифы (НВВ) население на 4,2%'!CO174</f>
        <v>80.636531338170116</v>
      </c>
      <c r="DY117" s="42">
        <f t="shared" si="618"/>
        <v>80.365341961802329</v>
      </c>
      <c r="DZ117" s="19">
        <f t="shared" si="619"/>
        <v>0</v>
      </c>
      <c r="EA117" s="19">
        <f t="shared" si="620"/>
        <v>0</v>
      </c>
      <c r="EB117" s="19"/>
      <c r="EC117" s="22">
        <f>+SUM(EC118:EC123)</f>
        <v>1826.1542665084744</v>
      </c>
      <c r="ED117" s="42">
        <f>+SUM(ED118:ED123)</f>
        <v>1718.5850858779659</v>
      </c>
      <c r="EE117" s="80"/>
      <c r="EF117" s="80"/>
      <c r="EG117" s="22">
        <f t="shared" si="621"/>
        <v>0</v>
      </c>
      <c r="EH117" s="80"/>
      <c r="EI117" s="80"/>
      <c r="EJ117" s="22">
        <f t="shared" si="622"/>
        <v>0</v>
      </c>
      <c r="EK117" s="40"/>
      <c r="EL117" s="40"/>
      <c r="EM117" s="40"/>
      <c r="EN117" s="146">
        <f>+SUM(EN118:EN123)</f>
        <v>7250.265818898306</v>
      </c>
      <c r="EO117" s="146">
        <f>+SUM(EO118:EO123)</f>
        <v>9209.7111681000006</v>
      </c>
      <c r="EP117" s="146" t="e">
        <f>+$EN$442/$EN$445*EN117</f>
        <v>#REF!</v>
      </c>
      <c r="EQ117" s="42">
        <f t="shared" si="623"/>
        <v>78.724138972037537</v>
      </c>
      <c r="ER117" s="42" t="e">
        <f>+IF((EN117+EP117)=0,,(EN117+EP117)/(EO117+EP117))*100</f>
        <v>#REF!</v>
      </c>
      <c r="ES117" s="42"/>
      <c r="ET117" s="42"/>
      <c r="EU117" s="19">
        <f t="shared" si="624"/>
        <v>0</v>
      </c>
      <c r="EV117" s="42"/>
      <c r="EW117" s="39"/>
      <c r="EX117" s="39">
        <f t="shared" si="625"/>
        <v>0</v>
      </c>
      <c r="EY117" s="39">
        <f t="shared" si="559"/>
        <v>0</v>
      </c>
      <c r="EZ117" s="39"/>
      <c r="FA117" s="39"/>
      <c r="FB117" s="39"/>
      <c r="FC117" s="39"/>
      <c r="FD117" s="39"/>
      <c r="FE117" s="39"/>
      <c r="FF117" s="39"/>
      <c r="FG117" s="39"/>
      <c r="FH117" s="39"/>
      <c r="FI117" s="39"/>
      <c r="FJ117" s="41">
        <f>+SUM(FJ118:FJ123)</f>
        <v>1697.7080857016952</v>
      </c>
      <c r="FK117" s="41">
        <f>+SUM(FK118:FK123)</f>
        <v>1959.4453492016958</v>
      </c>
      <c r="FL117" s="41">
        <f t="shared" si="626"/>
        <v>3657.1534349033909</v>
      </c>
      <c r="FM117" s="40"/>
      <c r="FN117" s="40"/>
      <c r="FO117" s="80">
        <f t="shared" si="627"/>
        <v>0</v>
      </c>
      <c r="FP117" s="80"/>
      <c r="FQ117" s="22"/>
      <c r="FR117" s="80">
        <f t="shared" si="628"/>
        <v>0</v>
      </c>
      <c r="FS117" s="80"/>
      <c r="FT117" s="22"/>
      <c r="FU117" s="40"/>
      <c r="FV117" s="41">
        <f t="shared" ref="FV117:GB117" si="696">+SUM(FV118:FV123)</f>
        <v>0</v>
      </c>
      <c r="FW117" s="41">
        <f t="shared" si="696"/>
        <v>0</v>
      </c>
      <c r="FX117" s="41">
        <f t="shared" si="696"/>
        <v>0</v>
      </c>
      <c r="FY117" s="41">
        <f t="shared" si="696"/>
        <v>0</v>
      </c>
      <c r="FZ117" s="41">
        <f t="shared" si="696"/>
        <v>0</v>
      </c>
      <c r="GA117" s="41">
        <f t="shared" si="696"/>
        <v>0</v>
      </c>
      <c r="GB117" s="41">
        <f t="shared" si="696"/>
        <v>0</v>
      </c>
      <c r="GC117" s="20">
        <f t="shared" si="630"/>
        <v>0</v>
      </c>
      <c r="GD117" s="20">
        <f t="shared" si="562"/>
        <v>0</v>
      </c>
      <c r="GE117" s="42"/>
      <c r="GF117" s="42"/>
      <c r="GG117" s="42"/>
      <c r="GH117" s="42"/>
      <c r="GI117" s="42"/>
      <c r="GJ117" s="42"/>
      <c r="GK117" s="42"/>
      <c r="GL117" s="42"/>
      <c r="GM117" s="40"/>
      <c r="GN117" s="40"/>
      <c r="GO117" s="80"/>
      <c r="GP117" s="80"/>
      <c r="GQ117" s="22"/>
      <c r="GR117" s="80"/>
      <c r="GS117" s="80"/>
      <c r="GT117" s="22"/>
      <c r="GU117" s="43"/>
      <c r="GV117" s="41"/>
      <c r="GW117" s="41"/>
      <c r="GX117" s="41">
        <f>+SUM(GX118:GX123)</f>
        <v>0</v>
      </c>
      <c r="GY117" s="41">
        <f>+SUM(GY118:GY123)</f>
        <v>0</v>
      </c>
      <c r="GZ117" s="44">
        <f t="shared" ref="GZ117" si="697">+IF(GY117=0,,GX117/GY117*100)</f>
        <v>0</v>
      </c>
      <c r="HA117" s="80"/>
      <c r="HB117" s="80"/>
      <c r="HC117" s="22"/>
      <c r="HD117" s="80"/>
      <c r="HE117" s="80"/>
      <c r="HF117" s="22"/>
      <c r="HG117" s="233"/>
    </row>
    <row r="118" spans="2:215" ht="15.75">
      <c r="B118" s="10" t="s">
        <v>271</v>
      </c>
      <c r="C118" s="81" t="s">
        <v>152</v>
      </c>
      <c r="D118" s="73"/>
      <c r="E118" s="73"/>
      <c r="F118" s="75"/>
      <c r="G118" s="75"/>
      <c r="H118" s="75"/>
      <c r="I118" s="73"/>
      <c r="J118" s="74"/>
      <c r="K118" s="74"/>
      <c r="L118" s="74"/>
      <c r="M118" s="73"/>
      <c r="N118" s="75"/>
      <c r="O118" s="74"/>
      <c r="P118" s="74"/>
      <c r="Q118" s="74"/>
      <c r="R118" s="75"/>
      <c r="S118" s="74"/>
      <c r="T118" s="74"/>
      <c r="U118" s="74"/>
      <c r="V118" s="52"/>
      <c r="W118" s="52"/>
      <c r="X118" s="52"/>
      <c r="Y118" s="52"/>
      <c r="Z118" s="22"/>
      <c r="AA118" s="52"/>
      <c r="AB118" s="22"/>
      <c r="AC118" s="52"/>
      <c r="AD118" s="22"/>
      <c r="AE118" s="22"/>
      <c r="AF118" s="22"/>
      <c r="AG118" s="22">
        <f t="shared" ref="AG118:AG121" si="698">+IF(AD118=0,,AF118/AD118*100)</f>
        <v>0</v>
      </c>
      <c r="AH118" s="52"/>
      <c r="AI118" s="52"/>
      <c r="AJ118" s="52"/>
      <c r="AK118" s="52"/>
      <c r="AL118" s="22"/>
      <c r="AM118" s="52"/>
      <c r="AN118" s="22"/>
      <c r="AO118" s="22"/>
      <c r="AP118" s="22"/>
      <c r="AQ118" s="22"/>
      <c r="AR118" s="22"/>
      <c r="AS118" s="22"/>
      <c r="AT118" s="22"/>
      <c r="AU118" s="22">
        <f t="shared" ref="AU118:AU121" si="699">+IF(AR118=0,,AT118/AR118*100)</f>
        <v>0</v>
      </c>
      <c r="AV118" s="77"/>
      <c r="AW118" s="77"/>
      <c r="AX118" s="78"/>
      <c r="AY118" s="22">
        <f t="shared" si="577"/>
        <v>0</v>
      </c>
      <c r="AZ118" s="22"/>
      <c r="BA118" s="22"/>
      <c r="BB118" s="22"/>
      <c r="BC118" s="22"/>
      <c r="BD118" s="22"/>
      <c r="BE118" s="22">
        <f t="shared" si="634"/>
        <v>0</v>
      </c>
      <c r="BF118" s="22"/>
      <c r="BG118" s="22"/>
      <c r="BH118" s="22">
        <f t="shared" si="635"/>
        <v>0</v>
      </c>
      <c r="BI118" s="22"/>
      <c r="BJ118" s="40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19"/>
      <c r="CX118" s="19"/>
      <c r="CY118" s="19"/>
      <c r="CZ118" s="19"/>
      <c r="DA118" s="21"/>
      <c r="DB118" s="21"/>
      <c r="DC118" s="79"/>
      <c r="DD118" s="79"/>
      <c r="DE118" s="79"/>
      <c r="DF118" s="79"/>
      <c r="DG118" s="79"/>
      <c r="DH118" s="51"/>
      <c r="DI118" s="39"/>
      <c r="DJ118" s="80"/>
      <c r="DK118" s="39"/>
      <c r="DL118" s="39"/>
      <c r="DM118" s="48"/>
      <c r="DN118" s="39"/>
      <c r="DO118" s="39"/>
      <c r="DP118" s="39"/>
      <c r="DQ118" s="39"/>
      <c r="DR118" s="39"/>
      <c r="DS118" s="39"/>
      <c r="DT118" s="39"/>
      <c r="DU118" s="19">
        <f t="shared" si="636"/>
        <v>0</v>
      </c>
      <c r="DV118" s="40">
        <f t="shared" si="637"/>
        <v>0</v>
      </c>
      <c r="DW118" s="40">
        <f t="shared" si="638"/>
        <v>0</v>
      </c>
      <c r="DX118" s="46"/>
      <c r="DY118" s="21">
        <f t="shared" si="618"/>
        <v>0</v>
      </c>
      <c r="DZ118" s="19">
        <f t="shared" si="619"/>
        <v>0</v>
      </c>
      <c r="EA118" s="19">
        <f t="shared" si="620"/>
        <v>0</v>
      </c>
      <c r="EB118" s="19"/>
      <c r="EC118" s="48">
        <f t="shared" ref="EC118:EC120" si="700">+(BC118-BF118/1.18)*AZ118/2</f>
        <v>0</v>
      </c>
      <c r="ED118" s="48">
        <f t="shared" ref="ED118:ED120" si="701">+(BD118-BG118/1.18)*AZ118/2</f>
        <v>0</v>
      </c>
      <c r="EE118" s="22"/>
      <c r="EF118" s="22"/>
      <c r="EG118" s="22">
        <f t="shared" si="621"/>
        <v>0</v>
      </c>
      <c r="EH118" s="22"/>
      <c r="EI118" s="22"/>
      <c r="EJ118" s="22">
        <f t="shared" si="622"/>
        <v>0</v>
      </c>
      <c r="EK118" s="40"/>
      <c r="EL118" s="19"/>
      <c r="EM118" s="19"/>
      <c r="EN118" s="40">
        <f t="shared" si="641"/>
        <v>0</v>
      </c>
      <c r="EO118" s="40">
        <f t="shared" si="642"/>
        <v>0</v>
      </c>
      <c r="EP118" s="40"/>
      <c r="EQ118" s="21">
        <f t="shared" si="623"/>
        <v>0</v>
      </c>
      <c r="ER118" s="21"/>
      <c r="ES118" s="21">
        <f t="shared" ref="ES118:ES121" si="702">+EL118*EE118</f>
        <v>0</v>
      </c>
      <c r="ET118" s="21"/>
      <c r="EU118" s="19">
        <f t="shared" si="624"/>
        <v>0</v>
      </c>
      <c r="EV118" s="21"/>
      <c r="EW118" s="39"/>
      <c r="EX118" s="39">
        <f t="shared" si="625"/>
        <v>0</v>
      </c>
      <c r="EY118" s="39">
        <f t="shared" si="559"/>
        <v>0</v>
      </c>
      <c r="EZ118" s="39"/>
      <c r="FA118" s="39"/>
      <c r="FB118" s="39"/>
      <c r="FC118" s="39"/>
      <c r="FD118" s="39"/>
      <c r="FE118" s="39"/>
      <c r="FF118" s="39"/>
      <c r="FG118" s="39"/>
      <c r="FH118" s="39"/>
      <c r="FI118" s="39"/>
      <c r="FJ118" s="19">
        <f t="shared" si="643"/>
        <v>0</v>
      </c>
      <c r="FK118" s="19">
        <f t="shared" si="644"/>
        <v>0</v>
      </c>
      <c r="FL118" s="19">
        <f t="shared" si="626"/>
        <v>0</v>
      </c>
      <c r="FM118" s="19"/>
      <c r="FN118" s="19"/>
      <c r="FO118" s="22">
        <f t="shared" si="627"/>
        <v>0</v>
      </c>
      <c r="FP118" s="22"/>
      <c r="FQ118" s="22"/>
      <c r="FR118" s="22">
        <f t="shared" si="628"/>
        <v>0</v>
      </c>
      <c r="FS118" s="22"/>
      <c r="FT118" s="22"/>
      <c r="FU118" s="40"/>
      <c r="FV118" s="19">
        <f t="shared" ref="FV118" si="703">+(FO118-FR118/1.18)*FN118</f>
        <v>0</v>
      </c>
      <c r="FW118" s="19">
        <f>+(FP118-FS118/1.18)*FN118</f>
        <v>0</v>
      </c>
      <c r="FX118" s="19">
        <f t="shared" si="646"/>
        <v>0</v>
      </c>
      <c r="FY118" s="19">
        <f t="shared" si="647"/>
        <v>0</v>
      </c>
      <c r="FZ118" s="19">
        <f t="shared" si="648"/>
        <v>0</v>
      </c>
      <c r="GA118" s="19">
        <f t="shared" si="649"/>
        <v>0</v>
      </c>
      <c r="GB118" s="19">
        <f t="shared" si="650"/>
        <v>0</v>
      </c>
      <c r="GC118" s="20">
        <f t="shared" si="630"/>
        <v>0</v>
      </c>
      <c r="GD118" s="20">
        <f t="shared" si="562"/>
        <v>0</v>
      </c>
      <c r="GE118" s="21"/>
      <c r="GF118" s="21">
        <f t="shared" ref="GF118" si="704">+FR118*FN118</f>
        <v>0</v>
      </c>
      <c r="GG118" s="21"/>
      <c r="GH118" s="21"/>
      <c r="GI118" s="21">
        <f t="shared" ref="GI118" si="705">+FP118*FM118</f>
        <v>0</v>
      </c>
      <c r="GJ118" s="21">
        <f t="shared" ref="GJ118" si="706">+FS118*FN118</f>
        <v>0</v>
      </c>
      <c r="GK118" s="21"/>
      <c r="GL118" s="21"/>
      <c r="GM118" s="19"/>
      <c r="GN118" s="19"/>
      <c r="GO118" s="22"/>
      <c r="GP118" s="22"/>
      <c r="GQ118" s="22"/>
      <c r="GR118" s="22"/>
      <c r="GS118" s="22"/>
      <c r="GT118" s="22"/>
      <c r="GU118" s="43"/>
      <c r="GV118" s="19"/>
      <c r="GW118" s="19"/>
      <c r="GX118" s="19"/>
      <c r="GY118" s="19"/>
      <c r="GZ118" s="19"/>
      <c r="HA118" s="22"/>
      <c r="HB118" s="22"/>
      <c r="HC118" s="22"/>
      <c r="HD118" s="22"/>
      <c r="HE118" s="22"/>
      <c r="HF118" s="22"/>
      <c r="HG118" s="233"/>
    </row>
    <row r="119" spans="2:215" ht="15.75">
      <c r="B119" s="10"/>
      <c r="C119" s="161" t="s">
        <v>153</v>
      </c>
      <c r="D119" s="73"/>
      <c r="E119" s="73"/>
      <c r="F119" s="75"/>
      <c r="G119" s="75"/>
      <c r="H119" s="75"/>
      <c r="I119" s="73"/>
      <c r="J119" s="74"/>
      <c r="K119" s="74"/>
      <c r="L119" s="74"/>
      <c r="M119" s="73"/>
      <c r="N119" s="75"/>
      <c r="O119" s="74"/>
      <c r="P119" s="74"/>
      <c r="Q119" s="74"/>
      <c r="R119" s="75"/>
      <c r="S119" s="74"/>
      <c r="T119" s="74"/>
      <c r="U119" s="74"/>
      <c r="V119" s="52"/>
      <c r="W119" s="52"/>
      <c r="X119" s="52"/>
      <c r="Y119" s="52"/>
      <c r="Z119" s="22"/>
      <c r="AA119" s="52"/>
      <c r="AB119" s="22"/>
      <c r="AC119" s="52"/>
      <c r="AD119" s="52">
        <v>2523.4</v>
      </c>
      <c r="AE119" s="22">
        <f>+IF(AC119=0,,AF119/AC119*100)</f>
        <v>0</v>
      </c>
      <c r="AF119" s="22">
        <v>2523.4</v>
      </c>
      <c r="AG119" s="22">
        <f t="shared" si="698"/>
        <v>100</v>
      </c>
      <c r="AH119" s="52"/>
      <c r="AI119" s="52"/>
      <c r="AJ119" s="52"/>
      <c r="AK119" s="52"/>
      <c r="AL119" s="22"/>
      <c r="AM119" s="52"/>
      <c r="AN119" s="22"/>
      <c r="AO119" s="22"/>
      <c r="AP119" s="22"/>
      <c r="AQ119" s="22"/>
      <c r="AR119" s="22">
        <v>2131.52</v>
      </c>
      <c r="AS119" s="22">
        <f>+IF(AQ119=0,,AT119/AQ119*100)</f>
        <v>0</v>
      </c>
      <c r="AT119" s="22">
        <v>2380.9</v>
      </c>
      <c r="AU119" s="22">
        <f t="shared" si="699"/>
        <v>111.69963218735926</v>
      </c>
      <c r="AV119" s="77"/>
      <c r="AW119" s="77"/>
      <c r="AX119" s="78" t="s">
        <v>139</v>
      </c>
      <c r="AY119" s="22">
        <f t="shared" si="577"/>
        <v>5.0098799999999999</v>
      </c>
      <c r="AZ119" s="22">
        <f>+[7]БПр!$BX$1888/1000</f>
        <v>1.6592899999999999</v>
      </c>
      <c r="BA119" s="22">
        <f>+[7]БПр!$BW$1888/1000</f>
        <v>3.1956200000000008</v>
      </c>
      <c r="BB119" s="22">
        <f>+([7]БПр!$BY$1888+[7]БПр!$BP$1888)/1000</f>
        <v>0.15497</v>
      </c>
      <c r="BC119" s="22">
        <v>2523.4</v>
      </c>
      <c r="BD119" s="22">
        <v>2629.38</v>
      </c>
      <c r="BE119" s="22">
        <f t="shared" si="634"/>
        <v>104.19988903859871</v>
      </c>
      <c r="BF119" s="22">
        <v>2380.9</v>
      </c>
      <c r="BG119" s="22">
        <v>2480.89</v>
      </c>
      <c r="BH119" s="22">
        <f t="shared" si="635"/>
        <v>104.19967239279264</v>
      </c>
      <c r="BI119" s="22">
        <f>+BD119-BG119/1.18</f>
        <v>526.93084745762735</v>
      </c>
      <c r="BJ119" s="40" t="s">
        <v>140</v>
      </c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19"/>
      <c r="CX119" s="19"/>
      <c r="CY119" s="19"/>
      <c r="CZ119" s="19"/>
      <c r="DA119" s="21"/>
      <c r="DB119" s="21"/>
      <c r="DC119" s="79"/>
      <c r="DD119" s="79"/>
      <c r="DE119" s="79"/>
      <c r="DF119" s="79"/>
      <c r="DG119" s="79"/>
      <c r="DH119" s="51"/>
      <c r="DI119" s="39"/>
      <c r="DJ119" s="80"/>
      <c r="DK119" s="39"/>
      <c r="DL119" s="39"/>
      <c r="DM119" s="48"/>
      <c r="DN119" s="39"/>
      <c r="DO119" s="39"/>
      <c r="DP119" s="39"/>
      <c r="DQ119" s="39"/>
      <c r="DR119" s="39"/>
      <c r="DS119" s="39"/>
      <c r="DT119" s="39"/>
      <c r="DU119" s="19">
        <f t="shared" si="636"/>
        <v>3347.9691194915254</v>
      </c>
      <c r="DV119" s="40">
        <f t="shared" si="637"/>
        <v>3488.5728543220339</v>
      </c>
      <c r="DW119" s="40">
        <f t="shared" si="638"/>
        <v>4362.9039401999999</v>
      </c>
      <c r="DX119" s="21">
        <f>+'[1]тарифы (НВВ) население на 4,2%'!CO176</f>
        <v>55.218149459903429</v>
      </c>
      <c r="DY119" s="21">
        <f t="shared" si="618"/>
        <v>79.959882274238524</v>
      </c>
      <c r="DZ119" s="19">
        <f t="shared" si="619"/>
        <v>12.641931191999999</v>
      </c>
      <c r="EA119" s="19">
        <f t="shared" si="620"/>
        <v>13.1728782744</v>
      </c>
      <c r="EB119" s="48">
        <v>1859.47</v>
      </c>
      <c r="EC119" s="48">
        <f>+(BC119-BF119/1.18)*AZ119</f>
        <v>839.08326650847448</v>
      </c>
      <c r="ED119" s="48">
        <f>+(BD119-BG119/1.18)*AZ119</f>
        <v>874.33108587796642</v>
      </c>
      <c r="EE119" s="22">
        <v>2629.38</v>
      </c>
      <c r="EF119" s="22">
        <v>2813.43</v>
      </c>
      <c r="EG119" s="22">
        <f t="shared" si="621"/>
        <v>106.99974899025624</v>
      </c>
      <c r="EH119" s="22">
        <v>2480.89</v>
      </c>
      <c r="EI119" s="22">
        <v>2480.89</v>
      </c>
      <c r="EJ119" s="22">
        <f t="shared" si="622"/>
        <v>100</v>
      </c>
      <c r="EK119" s="40" t="s">
        <v>141</v>
      </c>
      <c r="EL119" s="19">
        <v>5.0715200000000005</v>
      </c>
      <c r="EM119" s="19">
        <v>1.6196700000000002</v>
      </c>
      <c r="EN119" s="40">
        <f t="shared" si="641"/>
        <v>3405.2738188983058</v>
      </c>
      <c r="EO119" s="40">
        <f t="shared" si="642"/>
        <v>4556.8281680999999</v>
      </c>
      <c r="EP119" s="40"/>
      <c r="EQ119" s="21">
        <f t="shared" si="623"/>
        <v>74.729037244302262</v>
      </c>
      <c r="ER119" s="21"/>
      <c r="ES119" s="21">
        <f t="shared" si="702"/>
        <v>13334.953257600002</v>
      </c>
      <c r="ET119" s="21"/>
      <c r="EU119" s="19">
        <f t="shared" si="624"/>
        <v>14268.3665136</v>
      </c>
      <c r="EV119" s="21"/>
      <c r="EW119" s="39"/>
      <c r="EX119" s="39">
        <f t="shared" si="625"/>
        <v>13172.8782744</v>
      </c>
      <c r="EY119" s="39">
        <f t="shared" si="559"/>
        <v>14094.946688399999</v>
      </c>
      <c r="EZ119" s="39"/>
      <c r="FA119" s="39"/>
      <c r="FB119" s="39"/>
      <c r="FC119" s="39"/>
      <c r="FD119" s="39"/>
      <c r="FE119" s="39"/>
      <c r="FF119" s="39"/>
      <c r="FG119" s="39"/>
      <c r="FH119" s="39"/>
      <c r="FI119" s="39"/>
      <c r="FJ119" s="19">
        <f t="shared" si="643"/>
        <v>853.45408570169536</v>
      </c>
      <c r="FK119" s="19">
        <f t="shared" si="644"/>
        <v>1151.554349201695</v>
      </c>
      <c r="FL119" s="19">
        <f t="shared" si="626"/>
        <v>2005.0084349033905</v>
      </c>
      <c r="FM119" s="19">
        <v>4.7586300000000001</v>
      </c>
      <c r="FN119" s="19">
        <v>1.5980000000000001</v>
      </c>
      <c r="FO119" s="22">
        <v>3013.12</v>
      </c>
      <c r="FP119" s="22">
        <v>3083.47</v>
      </c>
      <c r="FQ119" s="22"/>
      <c r="FR119" s="22">
        <v>2818.41</v>
      </c>
      <c r="FS119" s="22">
        <v>2818.41</v>
      </c>
      <c r="FT119" s="22"/>
      <c r="FU119" s="137" t="s">
        <v>624</v>
      </c>
      <c r="FV119" s="19"/>
      <c r="FW119" s="19"/>
      <c r="FX119" s="19"/>
      <c r="FY119" s="19"/>
      <c r="FZ119" s="19"/>
      <c r="GA119" s="19"/>
      <c r="GB119" s="19"/>
      <c r="GC119" s="20"/>
      <c r="GD119" s="20"/>
      <c r="GE119" s="21"/>
      <c r="GF119" s="21"/>
      <c r="GG119" s="21"/>
      <c r="GH119" s="21"/>
      <c r="GI119" s="21"/>
      <c r="GJ119" s="21"/>
      <c r="GK119" s="21"/>
      <c r="GL119" s="21"/>
      <c r="GM119" s="19"/>
      <c r="GN119" s="19"/>
      <c r="GO119" s="22">
        <v>3083.47</v>
      </c>
      <c r="GP119" s="22">
        <v>3217.34</v>
      </c>
      <c r="GQ119" s="22"/>
      <c r="GR119" s="22">
        <v>2818.41</v>
      </c>
      <c r="GS119" s="22">
        <v>2925.51</v>
      </c>
      <c r="GT119" s="22"/>
      <c r="GU119" s="137" t="s">
        <v>624</v>
      </c>
      <c r="GV119" s="19"/>
      <c r="GW119" s="19"/>
      <c r="GX119" s="19"/>
      <c r="GY119" s="19"/>
      <c r="GZ119" s="23"/>
      <c r="HA119" s="22">
        <v>3217.34</v>
      </c>
      <c r="HB119" s="22">
        <v>3305.42</v>
      </c>
      <c r="HC119" s="22"/>
      <c r="HD119" s="22">
        <v>2925.51</v>
      </c>
      <c r="HE119" s="22">
        <v>3042.53</v>
      </c>
      <c r="HF119" s="22"/>
      <c r="HG119" s="235" t="s">
        <v>624</v>
      </c>
    </row>
    <row r="120" spans="2:215" ht="15.75">
      <c r="B120" s="10" t="s">
        <v>272</v>
      </c>
      <c r="C120" s="81" t="s">
        <v>273</v>
      </c>
      <c r="D120" s="73"/>
      <c r="E120" s="73"/>
      <c r="F120" s="75"/>
      <c r="G120" s="75"/>
      <c r="H120" s="75"/>
      <c r="I120" s="73"/>
      <c r="J120" s="74"/>
      <c r="K120" s="74"/>
      <c r="L120" s="74"/>
      <c r="M120" s="73"/>
      <c r="N120" s="75"/>
      <c r="O120" s="74"/>
      <c r="P120" s="74"/>
      <c r="Q120" s="74"/>
      <c r="R120" s="75"/>
      <c r="S120" s="74"/>
      <c r="T120" s="74"/>
      <c r="U120" s="74"/>
      <c r="V120" s="52"/>
      <c r="W120" s="52"/>
      <c r="X120" s="52"/>
      <c r="Y120" s="52"/>
      <c r="Z120" s="22"/>
      <c r="AA120" s="52"/>
      <c r="AB120" s="22"/>
      <c r="AC120" s="52"/>
      <c r="AD120" s="22"/>
      <c r="AE120" s="22"/>
      <c r="AF120" s="22"/>
      <c r="AG120" s="22">
        <f t="shared" si="698"/>
        <v>0</v>
      </c>
      <c r="AH120" s="52"/>
      <c r="AI120" s="52"/>
      <c r="AJ120" s="52"/>
      <c r="AK120" s="52"/>
      <c r="AL120" s="22"/>
      <c r="AM120" s="52"/>
      <c r="AN120" s="22"/>
      <c r="AO120" s="22"/>
      <c r="AP120" s="22"/>
      <c r="AQ120" s="22"/>
      <c r="AR120" s="22"/>
      <c r="AS120" s="22"/>
      <c r="AT120" s="22"/>
      <c r="AU120" s="22">
        <f t="shared" si="699"/>
        <v>0</v>
      </c>
      <c r="AV120" s="77"/>
      <c r="AW120" s="77"/>
      <c r="AX120" s="78"/>
      <c r="AY120" s="22">
        <f t="shared" si="577"/>
        <v>0</v>
      </c>
      <c r="AZ120" s="22"/>
      <c r="BA120" s="22"/>
      <c r="BB120" s="22"/>
      <c r="BC120" s="22"/>
      <c r="BD120" s="22"/>
      <c r="BE120" s="22">
        <f t="shared" si="634"/>
        <v>0</v>
      </c>
      <c r="BF120" s="22"/>
      <c r="BG120" s="22"/>
      <c r="BH120" s="22">
        <f t="shared" si="635"/>
        <v>0</v>
      </c>
      <c r="BI120" s="22"/>
      <c r="BJ120" s="40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19"/>
      <c r="CX120" s="19"/>
      <c r="CY120" s="19"/>
      <c r="CZ120" s="19"/>
      <c r="DA120" s="21"/>
      <c r="DB120" s="21"/>
      <c r="DC120" s="79"/>
      <c r="DD120" s="79"/>
      <c r="DE120" s="79"/>
      <c r="DF120" s="79"/>
      <c r="DG120" s="79"/>
      <c r="DH120" s="51"/>
      <c r="DI120" s="39"/>
      <c r="DJ120" s="80"/>
      <c r="DK120" s="39"/>
      <c r="DL120" s="39"/>
      <c r="DM120" s="48"/>
      <c r="DN120" s="39"/>
      <c r="DO120" s="39"/>
      <c r="DP120" s="39"/>
      <c r="DQ120" s="39"/>
      <c r="DR120" s="39"/>
      <c r="DS120" s="39"/>
      <c r="DT120" s="39"/>
      <c r="DU120" s="19">
        <f t="shared" si="636"/>
        <v>0</v>
      </c>
      <c r="DV120" s="40">
        <f t="shared" si="637"/>
        <v>0</v>
      </c>
      <c r="DW120" s="40">
        <f t="shared" si="638"/>
        <v>0</v>
      </c>
      <c r="DX120" s="46"/>
      <c r="DY120" s="21">
        <f t="shared" si="618"/>
        <v>0</v>
      </c>
      <c r="DZ120" s="19">
        <f t="shared" si="619"/>
        <v>0</v>
      </c>
      <c r="EA120" s="19">
        <f t="shared" si="620"/>
        <v>0</v>
      </c>
      <c r="EB120" s="19"/>
      <c r="EC120" s="48">
        <f t="shared" si="700"/>
        <v>0</v>
      </c>
      <c r="ED120" s="48">
        <f t="shared" si="701"/>
        <v>0</v>
      </c>
      <c r="EE120" s="22"/>
      <c r="EF120" s="22"/>
      <c r="EG120" s="22">
        <f t="shared" si="621"/>
        <v>0</v>
      </c>
      <c r="EH120" s="22"/>
      <c r="EI120" s="22"/>
      <c r="EJ120" s="22">
        <f t="shared" si="622"/>
        <v>0</v>
      </c>
      <c r="EK120" s="40"/>
      <c r="EL120" s="19"/>
      <c r="EM120" s="19"/>
      <c r="EN120" s="40">
        <f t="shared" si="641"/>
        <v>0</v>
      </c>
      <c r="EO120" s="40">
        <f t="shared" si="642"/>
        <v>0</v>
      </c>
      <c r="EP120" s="40"/>
      <c r="EQ120" s="21">
        <f t="shared" si="623"/>
        <v>0</v>
      </c>
      <c r="ER120" s="21"/>
      <c r="ES120" s="21">
        <f t="shared" si="702"/>
        <v>0</v>
      </c>
      <c r="ET120" s="21"/>
      <c r="EU120" s="19">
        <f t="shared" si="624"/>
        <v>0</v>
      </c>
      <c r="EV120" s="21"/>
      <c r="EW120" s="39"/>
      <c r="EX120" s="39">
        <f t="shared" si="625"/>
        <v>0</v>
      </c>
      <c r="EY120" s="39">
        <f t="shared" si="559"/>
        <v>0</v>
      </c>
      <c r="EZ120" s="39"/>
      <c r="FA120" s="39"/>
      <c r="FB120" s="39"/>
      <c r="FC120" s="39"/>
      <c r="FD120" s="39"/>
      <c r="FE120" s="39"/>
      <c r="FF120" s="39"/>
      <c r="FG120" s="39"/>
      <c r="FH120" s="39"/>
      <c r="FI120" s="39"/>
      <c r="FJ120" s="19">
        <f t="shared" si="643"/>
        <v>0</v>
      </c>
      <c r="FK120" s="19">
        <f t="shared" si="644"/>
        <v>0</v>
      </c>
      <c r="FL120" s="19">
        <f t="shared" si="626"/>
        <v>0</v>
      </c>
      <c r="FM120" s="19"/>
      <c r="FN120" s="19"/>
      <c r="FO120" s="22"/>
      <c r="FP120" s="22"/>
      <c r="FQ120" s="22"/>
      <c r="FR120" s="22"/>
      <c r="FS120" s="22"/>
      <c r="FT120" s="22"/>
      <c r="FU120" s="40"/>
      <c r="FV120" s="19"/>
      <c r="FW120" s="19"/>
      <c r="FX120" s="19"/>
      <c r="FY120" s="19"/>
      <c r="FZ120" s="19"/>
      <c r="GA120" s="19"/>
      <c r="GB120" s="19"/>
      <c r="GC120" s="20"/>
      <c r="GD120" s="20"/>
      <c r="GE120" s="21"/>
      <c r="GF120" s="21"/>
      <c r="GG120" s="21"/>
      <c r="GH120" s="21"/>
      <c r="GI120" s="21"/>
      <c r="GJ120" s="21"/>
      <c r="GK120" s="21"/>
      <c r="GL120" s="21"/>
      <c r="GM120" s="19"/>
      <c r="GN120" s="19"/>
      <c r="GO120" s="22"/>
      <c r="GP120" s="22"/>
      <c r="GQ120" s="22"/>
      <c r="GR120" s="22"/>
      <c r="GS120" s="22"/>
      <c r="GT120" s="22"/>
      <c r="GU120" s="43"/>
      <c r="GV120" s="19"/>
      <c r="GW120" s="19"/>
      <c r="GX120" s="19"/>
      <c r="GY120" s="19"/>
      <c r="GZ120" s="23"/>
      <c r="HA120" s="22"/>
      <c r="HB120" s="22"/>
      <c r="HC120" s="22"/>
      <c r="HD120" s="22"/>
      <c r="HE120" s="22"/>
      <c r="HF120" s="22"/>
      <c r="HG120" s="233"/>
    </row>
    <row r="121" spans="2:215" ht="15.75">
      <c r="B121" s="10"/>
      <c r="C121" s="184" t="s">
        <v>228</v>
      </c>
      <c r="D121" s="73"/>
      <c r="E121" s="73"/>
      <c r="F121" s="75"/>
      <c r="G121" s="75"/>
      <c r="H121" s="75"/>
      <c r="I121" s="73"/>
      <c r="J121" s="74"/>
      <c r="K121" s="74"/>
      <c r="L121" s="74"/>
      <c r="M121" s="73"/>
      <c r="N121" s="75"/>
      <c r="O121" s="74"/>
      <c r="P121" s="74"/>
      <c r="Q121" s="74"/>
      <c r="R121" s="75"/>
      <c r="S121" s="74"/>
      <c r="T121" s="74"/>
      <c r="U121" s="74"/>
      <c r="V121" s="52"/>
      <c r="W121" s="52"/>
      <c r="X121" s="52"/>
      <c r="Y121" s="52"/>
      <c r="Z121" s="22"/>
      <c r="AA121" s="52"/>
      <c r="AB121" s="22"/>
      <c r="AC121" s="52"/>
      <c r="AD121" s="22">
        <v>78.39</v>
      </c>
      <c r="AE121" s="22">
        <f t="shared" ref="AE121:AE126" si="707">+IF(AC121=0,,AF121/AC121*100)</f>
        <v>0</v>
      </c>
      <c r="AF121" s="22">
        <v>78.39</v>
      </c>
      <c r="AG121" s="22">
        <f t="shared" si="698"/>
        <v>100</v>
      </c>
      <c r="AH121" s="52"/>
      <c r="AI121" s="52"/>
      <c r="AJ121" s="52"/>
      <c r="AK121" s="52"/>
      <c r="AL121" s="22"/>
      <c r="AM121" s="52"/>
      <c r="AN121" s="22"/>
      <c r="AO121" s="22"/>
      <c r="AP121" s="22"/>
      <c r="AQ121" s="22"/>
      <c r="AR121" s="22">
        <v>58.34</v>
      </c>
      <c r="AS121" s="22">
        <f t="shared" ref="AS121:AS126" si="708">+IF(AQ121=0,,AT121/AQ121*100)</f>
        <v>0</v>
      </c>
      <c r="AT121" s="22">
        <v>64.569999999999993</v>
      </c>
      <c r="AU121" s="22">
        <f t="shared" si="699"/>
        <v>110.67877956804935</v>
      </c>
      <c r="AV121" s="77"/>
      <c r="AW121" s="77"/>
      <c r="AX121" s="78" t="s">
        <v>274</v>
      </c>
      <c r="AY121" s="22">
        <f t="shared" si="577"/>
        <v>78.058999999999997</v>
      </c>
      <c r="AZ121" s="22">
        <f>+[3]БПр!$AC$650/1000</f>
        <v>52.699999999999989</v>
      </c>
      <c r="BA121" s="22">
        <f>+[3]БПр!$AB$650/1000</f>
        <v>6.798</v>
      </c>
      <c r="BB121" s="22">
        <f>+[3]БПр!$AD$650/1000</f>
        <v>18.561</v>
      </c>
      <c r="BC121" s="22">
        <v>83.3</v>
      </c>
      <c r="BD121" s="22">
        <v>83.3</v>
      </c>
      <c r="BE121" s="22">
        <f t="shared" si="634"/>
        <v>100</v>
      </c>
      <c r="BF121" s="22">
        <v>64.569999999999993</v>
      </c>
      <c r="BG121" s="22">
        <v>67.28</v>
      </c>
      <c r="BH121" s="22">
        <f t="shared" si="635"/>
        <v>104.19699550875021</v>
      </c>
      <c r="BI121" s="22"/>
      <c r="BJ121" s="40" t="s">
        <v>275</v>
      </c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19"/>
      <c r="CX121" s="19"/>
      <c r="CY121" s="19"/>
      <c r="CZ121" s="19"/>
      <c r="DA121" s="21"/>
      <c r="DB121" s="21"/>
      <c r="DC121" s="79"/>
      <c r="DD121" s="79"/>
      <c r="DE121" s="79"/>
      <c r="DF121" s="79"/>
      <c r="DG121" s="79"/>
      <c r="DH121" s="51"/>
      <c r="DI121" s="39"/>
      <c r="DJ121" s="80"/>
      <c r="DK121" s="39"/>
      <c r="DL121" s="39"/>
      <c r="DM121" s="48"/>
      <c r="DN121" s="39"/>
      <c r="DO121" s="39"/>
      <c r="DP121" s="39"/>
      <c r="DQ121" s="39"/>
      <c r="DR121" s="39"/>
      <c r="DS121" s="39"/>
      <c r="DT121" s="39"/>
      <c r="DU121" s="19">
        <f t="shared" si="636"/>
        <v>2883.7618644067788</v>
      </c>
      <c r="DV121" s="40">
        <f>+(BG121*AZ121)</f>
        <v>3545.6559999999995</v>
      </c>
      <c r="DW121" s="40">
        <f t="shared" si="638"/>
        <v>4389.9099999999989</v>
      </c>
      <c r="DX121" s="21">
        <f>+'[1]тарифы (НВВ) население на 4,2%'!CO177</f>
        <v>74.584523969175848</v>
      </c>
      <c r="DY121" s="21">
        <f t="shared" si="618"/>
        <v>80.768307322929175</v>
      </c>
      <c r="DZ121" s="19">
        <f t="shared" si="619"/>
        <v>6.5023147000000003</v>
      </c>
      <c r="EA121" s="19">
        <f t="shared" si="620"/>
        <v>6.5023147000000003</v>
      </c>
      <c r="EB121" s="19"/>
      <c r="EC121" s="48">
        <f>+(BC121-BF121)*AZ121</f>
        <v>987.07100000000003</v>
      </c>
      <c r="ED121" s="48">
        <f>+(BD121-BG121)*AZ121</f>
        <v>844.25399999999956</v>
      </c>
      <c r="EE121" s="22">
        <v>83.3</v>
      </c>
      <c r="EF121" s="22">
        <v>88.29</v>
      </c>
      <c r="EG121" s="22">
        <f t="shared" si="621"/>
        <v>105.9903961584634</v>
      </c>
      <c r="EH121" s="22">
        <v>67.28</v>
      </c>
      <c r="EI121" s="22">
        <v>72.959999999999994</v>
      </c>
      <c r="EJ121" s="22">
        <f t="shared" si="622"/>
        <v>108.44233055885849</v>
      </c>
      <c r="EK121" s="40" t="s">
        <v>276</v>
      </c>
      <c r="EL121" s="19">
        <v>79.08</v>
      </c>
      <c r="EM121" s="19">
        <v>52.7</v>
      </c>
      <c r="EN121" s="40">
        <f>+(EI121*EM121)</f>
        <v>3844.9919999999997</v>
      </c>
      <c r="EO121" s="40">
        <f t="shared" si="642"/>
        <v>4652.8830000000007</v>
      </c>
      <c r="EP121" s="40"/>
      <c r="EQ121" s="21">
        <f t="shared" si="623"/>
        <v>82.63676520557253</v>
      </c>
      <c r="ER121" s="21"/>
      <c r="ES121" s="21">
        <f t="shared" si="702"/>
        <v>6587.3639999999996</v>
      </c>
      <c r="ET121" s="21"/>
      <c r="EU121" s="19">
        <f t="shared" si="624"/>
        <v>6981.9732000000004</v>
      </c>
      <c r="EV121" s="21"/>
      <c r="EW121" s="39"/>
      <c r="EX121" s="39">
        <f t="shared" si="625"/>
        <v>6502.3146999999999</v>
      </c>
      <c r="EY121" s="39">
        <f t="shared" si="559"/>
        <v>6891.8291100000006</v>
      </c>
      <c r="EZ121" s="39"/>
      <c r="FA121" s="39"/>
      <c r="FB121" s="39"/>
      <c r="FC121" s="39"/>
      <c r="FD121" s="39"/>
      <c r="FE121" s="39"/>
      <c r="FF121" s="39"/>
      <c r="FG121" s="39"/>
      <c r="FH121" s="39"/>
      <c r="FI121" s="39"/>
      <c r="FJ121" s="19">
        <f>+(EE121-EH121)*EM121</f>
        <v>844.25399999999979</v>
      </c>
      <c r="FK121" s="19">
        <f>+(EF121-EI121)*EM121</f>
        <v>807.89100000000076</v>
      </c>
      <c r="FL121" s="19">
        <f t="shared" si="626"/>
        <v>1652.1450000000004</v>
      </c>
      <c r="FM121" s="19">
        <v>77.36</v>
      </c>
      <c r="FN121" s="19">
        <v>53.72</v>
      </c>
      <c r="FO121" s="22">
        <v>107.52</v>
      </c>
      <c r="FP121" s="22">
        <v>109.96</v>
      </c>
      <c r="FQ121" s="22"/>
      <c r="FR121" s="22">
        <v>94.08</v>
      </c>
      <c r="FS121" s="22">
        <v>94.08</v>
      </c>
      <c r="FT121" s="22"/>
      <c r="FU121" s="40" t="s">
        <v>664</v>
      </c>
      <c r="FV121" s="19"/>
      <c r="FW121" s="19"/>
      <c r="FX121" s="19"/>
      <c r="FY121" s="19"/>
      <c r="FZ121" s="19"/>
      <c r="GA121" s="19"/>
      <c r="GB121" s="19"/>
      <c r="GC121" s="20"/>
      <c r="GD121" s="20"/>
      <c r="GE121" s="21"/>
      <c r="GF121" s="21"/>
      <c r="GG121" s="21"/>
      <c r="GH121" s="21"/>
      <c r="GI121" s="21"/>
      <c r="GJ121" s="21"/>
      <c r="GK121" s="21"/>
      <c r="GL121" s="21"/>
      <c r="GM121" s="19"/>
      <c r="GN121" s="19"/>
      <c r="GO121" s="22">
        <v>109.96</v>
      </c>
      <c r="GP121" s="22">
        <v>113.43</v>
      </c>
      <c r="GQ121" s="22"/>
      <c r="GR121" s="22">
        <v>94.08</v>
      </c>
      <c r="GS121" s="22">
        <v>97.84</v>
      </c>
      <c r="GT121" s="22"/>
      <c r="GU121" s="40" t="s">
        <v>664</v>
      </c>
      <c r="GV121" s="19"/>
      <c r="GW121" s="19"/>
      <c r="GX121" s="19"/>
      <c r="GY121" s="19"/>
      <c r="GZ121" s="23"/>
      <c r="HA121" s="22">
        <v>113.43</v>
      </c>
      <c r="HB121" s="22">
        <v>116.61</v>
      </c>
      <c r="HC121" s="22"/>
      <c r="HD121" s="22">
        <v>97.84</v>
      </c>
      <c r="HE121" s="22">
        <v>101.76</v>
      </c>
      <c r="HF121" s="22"/>
      <c r="HG121" s="236" t="s">
        <v>664</v>
      </c>
    </row>
    <row r="122" spans="2:215" ht="15.75">
      <c r="B122" s="10" t="s">
        <v>277</v>
      </c>
      <c r="C122" s="81" t="s">
        <v>607</v>
      </c>
      <c r="D122" s="82"/>
      <c r="E122" s="73"/>
      <c r="F122" s="74"/>
      <c r="G122" s="74"/>
      <c r="H122" s="74"/>
      <c r="I122" s="75"/>
      <c r="J122" s="73"/>
      <c r="K122" s="73"/>
      <c r="L122" s="75"/>
      <c r="M122" s="82"/>
      <c r="N122" s="75"/>
      <c r="O122" s="74"/>
      <c r="P122" s="74"/>
      <c r="Q122" s="74"/>
      <c r="R122" s="75"/>
      <c r="S122" s="74"/>
      <c r="T122" s="74"/>
      <c r="U122" s="74"/>
      <c r="V122" s="52"/>
      <c r="W122" s="52"/>
      <c r="X122" s="52"/>
      <c r="Y122" s="52"/>
      <c r="Z122" s="22"/>
      <c r="AA122" s="52"/>
      <c r="AB122" s="22"/>
      <c r="AC122" s="52"/>
      <c r="AD122" s="52"/>
      <c r="AE122" s="22"/>
      <c r="AF122" s="52"/>
      <c r="AG122" s="22"/>
      <c r="AH122" s="52"/>
      <c r="AI122" s="52"/>
      <c r="AJ122" s="52"/>
      <c r="AK122" s="52"/>
      <c r="AL122" s="22"/>
      <c r="AM122" s="52"/>
      <c r="AN122" s="22"/>
      <c r="AO122" s="22"/>
      <c r="AP122" s="22"/>
      <c r="AQ122" s="52"/>
      <c r="AR122" s="52"/>
      <c r="AS122" s="22"/>
      <c r="AT122" s="22"/>
      <c r="AU122" s="22"/>
      <c r="AV122" s="77"/>
      <c r="AW122" s="77"/>
      <c r="AX122" s="78"/>
      <c r="AY122" s="22"/>
      <c r="AZ122" s="22"/>
      <c r="BA122" s="22"/>
      <c r="BB122" s="22"/>
      <c r="BC122" s="52"/>
      <c r="BD122" s="52"/>
      <c r="BE122" s="22"/>
      <c r="BF122" s="52"/>
      <c r="BG122" s="52"/>
      <c r="BH122" s="22"/>
      <c r="BI122" s="22"/>
      <c r="BJ122" s="40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19"/>
      <c r="CX122" s="19"/>
      <c r="CY122" s="19"/>
      <c r="CZ122" s="19"/>
      <c r="DA122" s="21"/>
      <c r="DB122" s="21"/>
      <c r="DC122" s="79"/>
      <c r="DD122" s="79"/>
      <c r="DE122" s="79"/>
      <c r="DF122" s="79"/>
      <c r="DG122" s="79"/>
      <c r="DH122" s="51"/>
      <c r="DI122" s="39"/>
      <c r="DJ122" s="80"/>
      <c r="DK122" s="39"/>
      <c r="DL122" s="39"/>
      <c r="DM122" s="48"/>
      <c r="DN122" s="39"/>
      <c r="DO122" s="39"/>
      <c r="DP122" s="39"/>
      <c r="DQ122" s="39"/>
      <c r="DR122" s="39"/>
      <c r="DS122" s="39"/>
      <c r="DT122" s="39"/>
      <c r="DU122" s="19"/>
      <c r="DV122" s="40"/>
      <c r="DW122" s="40"/>
      <c r="DX122" s="21"/>
      <c r="DY122" s="21"/>
      <c r="DZ122" s="19"/>
      <c r="EA122" s="19"/>
      <c r="EB122" s="19"/>
      <c r="EC122" s="48"/>
      <c r="ED122" s="48"/>
      <c r="EE122" s="52"/>
      <c r="EF122" s="52"/>
      <c r="EG122" s="22"/>
      <c r="EH122" s="52"/>
      <c r="EI122" s="52"/>
      <c r="EJ122" s="22"/>
      <c r="EK122" s="40"/>
      <c r="EL122" s="19"/>
      <c r="EM122" s="19"/>
      <c r="EN122" s="40"/>
      <c r="EO122" s="40"/>
      <c r="EP122" s="40"/>
      <c r="EQ122" s="21"/>
      <c r="ER122" s="21"/>
      <c r="ES122" s="19"/>
      <c r="ET122" s="19"/>
      <c r="EU122" s="19"/>
      <c r="EV122" s="21"/>
      <c r="EW122" s="39"/>
      <c r="EX122" s="39"/>
      <c r="EY122" s="39"/>
      <c r="EZ122" s="39"/>
      <c r="FA122" s="39"/>
      <c r="FB122" s="39"/>
      <c r="FC122" s="39"/>
      <c r="FD122" s="39"/>
      <c r="FE122" s="39"/>
      <c r="FF122" s="39"/>
      <c r="FG122" s="39"/>
      <c r="FH122" s="39"/>
      <c r="FI122" s="39"/>
      <c r="FJ122" s="19"/>
      <c r="FK122" s="19"/>
      <c r="FL122" s="19"/>
      <c r="FM122" s="19"/>
      <c r="FN122" s="19"/>
      <c r="FO122" s="52"/>
      <c r="FP122" s="52"/>
      <c r="FQ122" s="22"/>
      <c r="FR122" s="52"/>
      <c r="FS122" s="22"/>
      <c r="FT122" s="22"/>
      <c r="FU122" s="40"/>
      <c r="FV122" s="19"/>
      <c r="FW122" s="19"/>
      <c r="FX122" s="19"/>
      <c r="FY122" s="19"/>
      <c r="FZ122" s="19"/>
      <c r="GA122" s="19"/>
      <c r="GB122" s="19"/>
      <c r="GC122" s="20"/>
      <c r="GD122" s="20"/>
      <c r="GE122" s="19"/>
      <c r="GF122" s="21"/>
      <c r="GG122" s="19"/>
      <c r="GH122" s="19"/>
      <c r="GI122" s="19"/>
      <c r="GJ122" s="21"/>
      <c r="GK122" s="19"/>
      <c r="GL122" s="19"/>
      <c r="GM122" s="19"/>
      <c r="GN122" s="19"/>
      <c r="GO122" s="52"/>
      <c r="GP122" s="52"/>
      <c r="GQ122" s="22"/>
      <c r="GR122" s="22"/>
      <c r="GS122" s="22"/>
      <c r="GT122" s="22"/>
      <c r="GU122" s="43"/>
      <c r="GV122" s="19"/>
      <c r="GW122" s="19"/>
      <c r="GX122" s="19"/>
      <c r="GY122" s="19"/>
      <c r="GZ122" s="19"/>
      <c r="HA122" s="52"/>
      <c r="HB122" s="52"/>
      <c r="HC122" s="22"/>
      <c r="HD122" s="52"/>
      <c r="HE122" s="22"/>
      <c r="HF122" s="22"/>
      <c r="HG122" s="233"/>
    </row>
    <row r="123" spans="2:215" ht="15.75">
      <c r="B123" s="10"/>
      <c r="C123" s="161" t="s">
        <v>153</v>
      </c>
      <c r="D123" s="82"/>
      <c r="E123" s="73"/>
      <c r="F123" s="74"/>
      <c r="G123" s="74"/>
      <c r="H123" s="74"/>
      <c r="I123" s="75"/>
      <c r="J123" s="73"/>
      <c r="K123" s="73"/>
      <c r="L123" s="75"/>
      <c r="M123" s="82"/>
      <c r="N123" s="75"/>
      <c r="O123" s="74"/>
      <c r="P123" s="74"/>
      <c r="Q123" s="74"/>
      <c r="R123" s="75"/>
      <c r="S123" s="74"/>
      <c r="T123" s="74"/>
      <c r="U123" s="74"/>
      <c r="V123" s="52"/>
      <c r="W123" s="52"/>
      <c r="X123" s="52"/>
      <c r="Y123" s="52"/>
      <c r="Z123" s="22"/>
      <c r="AA123" s="52"/>
      <c r="AB123" s="22"/>
      <c r="AC123" s="52"/>
      <c r="AD123" s="52"/>
      <c r="AE123" s="22"/>
      <c r="AF123" s="52"/>
      <c r="AG123" s="22"/>
      <c r="AH123" s="52"/>
      <c r="AI123" s="52"/>
      <c r="AJ123" s="52"/>
      <c r="AK123" s="52"/>
      <c r="AL123" s="22"/>
      <c r="AM123" s="52"/>
      <c r="AN123" s="22"/>
      <c r="AO123" s="22"/>
      <c r="AP123" s="22"/>
      <c r="AQ123" s="52"/>
      <c r="AR123" s="52"/>
      <c r="AS123" s="22"/>
      <c r="AT123" s="22"/>
      <c r="AU123" s="22"/>
      <c r="AV123" s="77"/>
      <c r="AW123" s="77"/>
      <c r="AX123" s="78"/>
      <c r="AY123" s="22"/>
      <c r="AZ123" s="22"/>
      <c r="BA123" s="22"/>
      <c r="BB123" s="22"/>
      <c r="BC123" s="52"/>
      <c r="BD123" s="52"/>
      <c r="BE123" s="22"/>
      <c r="BF123" s="52"/>
      <c r="BG123" s="52"/>
      <c r="BH123" s="22"/>
      <c r="BI123" s="22"/>
      <c r="BJ123" s="40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19"/>
      <c r="CX123" s="19"/>
      <c r="CY123" s="19"/>
      <c r="CZ123" s="19"/>
      <c r="DA123" s="21"/>
      <c r="DB123" s="21"/>
      <c r="DC123" s="79"/>
      <c r="DD123" s="79"/>
      <c r="DE123" s="79"/>
      <c r="DF123" s="79"/>
      <c r="DG123" s="79"/>
      <c r="DH123" s="51"/>
      <c r="DI123" s="39"/>
      <c r="DJ123" s="80"/>
      <c r="DK123" s="39"/>
      <c r="DL123" s="39"/>
      <c r="DM123" s="48"/>
      <c r="DN123" s="39"/>
      <c r="DO123" s="39"/>
      <c r="DP123" s="39"/>
      <c r="DQ123" s="39"/>
      <c r="DR123" s="39"/>
      <c r="DS123" s="39"/>
      <c r="DT123" s="39"/>
      <c r="DU123" s="19"/>
      <c r="DV123" s="40"/>
      <c r="DW123" s="40"/>
      <c r="DX123" s="21"/>
      <c r="DY123" s="21"/>
      <c r="DZ123" s="19"/>
      <c r="EA123" s="19"/>
      <c r="EB123" s="19"/>
      <c r="EC123" s="48"/>
      <c r="ED123" s="48"/>
      <c r="EE123" s="52"/>
      <c r="EF123" s="52"/>
      <c r="EG123" s="22"/>
      <c r="EH123" s="52"/>
      <c r="EI123" s="52"/>
      <c r="EJ123" s="22"/>
      <c r="EK123" s="40"/>
      <c r="EL123" s="19"/>
      <c r="EM123" s="19"/>
      <c r="EN123" s="40"/>
      <c r="EO123" s="40"/>
      <c r="EP123" s="40"/>
      <c r="EQ123" s="21"/>
      <c r="ER123" s="21"/>
      <c r="ES123" s="19"/>
      <c r="ET123" s="19"/>
      <c r="EU123" s="19"/>
      <c r="EV123" s="21"/>
      <c r="EW123" s="39"/>
      <c r="EX123" s="39"/>
      <c r="EY123" s="39"/>
      <c r="EZ123" s="39"/>
      <c r="FA123" s="39"/>
      <c r="FB123" s="39"/>
      <c r="FC123" s="39"/>
      <c r="FD123" s="39"/>
      <c r="FE123" s="39"/>
      <c r="FF123" s="39"/>
      <c r="FG123" s="39"/>
      <c r="FH123" s="39"/>
      <c r="FI123" s="39"/>
      <c r="FJ123" s="19"/>
      <c r="FK123" s="19"/>
      <c r="FL123" s="19"/>
      <c r="FM123" s="19"/>
      <c r="FN123" s="19"/>
      <c r="FO123" s="52">
        <v>9959.61</v>
      </c>
      <c r="FP123" s="52">
        <v>10382.51</v>
      </c>
      <c r="FQ123" s="22"/>
      <c r="FR123" s="52" t="s">
        <v>633</v>
      </c>
      <c r="FS123" s="22" t="s">
        <v>633</v>
      </c>
      <c r="FT123" s="22"/>
      <c r="FU123" s="40" t="s">
        <v>657</v>
      </c>
      <c r="FV123" s="19"/>
      <c r="FW123" s="19"/>
      <c r="FX123" s="19"/>
      <c r="FY123" s="19"/>
      <c r="FZ123" s="19"/>
      <c r="GA123" s="19"/>
      <c r="GB123" s="19"/>
      <c r="GC123" s="20"/>
      <c r="GD123" s="20"/>
      <c r="GE123" s="19"/>
      <c r="GF123" s="21"/>
      <c r="GG123" s="19"/>
      <c r="GH123" s="19"/>
      <c r="GI123" s="19"/>
      <c r="GJ123" s="21"/>
      <c r="GK123" s="19"/>
      <c r="GL123" s="19"/>
      <c r="GM123" s="19"/>
      <c r="GN123" s="19"/>
      <c r="GO123" s="22">
        <v>10382.51</v>
      </c>
      <c r="GP123" s="22">
        <v>10697.6</v>
      </c>
      <c r="GQ123" s="22"/>
      <c r="GR123" s="22" t="s">
        <v>633</v>
      </c>
      <c r="GS123" s="22" t="s">
        <v>633</v>
      </c>
      <c r="GT123" s="22"/>
      <c r="GU123" s="40" t="s">
        <v>657</v>
      </c>
      <c r="GV123" s="19"/>
      <c r="GW123" s="19"/>
      <c r="GX123" s="19"/>
      <c r="GY123" s="19"/>
      <c r="GZ123" s="23"/>
      <c r="HA123" s="22">
        <v>10697.6</v>
      </c>
      <c r="HB123" s="22">
        <v>11037.88</v>
      </c>
      <c r="HC123" s="22"/>
      <c r="HD123" s="52" t="s">
        <v>633</v>
      </c>
      <c r="HE123" s="22" t="s">
        <v>633</v>
      </c>
      <c r="HF123" s="22"/>
      <c r="HG123" s="236" t="s">
        <v>657</v>
      </c>
    </row>
    <row r="124" spans="2:215" ht="15.75">
      <c r="B124" s="15"/>
      <c r="C124" s="81" t="s">
        <v>636</v>
      </c>
      <c r="D124" s="82"/>
      <c r="E124" s="73"/>
      <c r="F124" s="74"/>
      <c r="G124" s="74"/>
      <c r="H124" s="74"/>
      <c r="I124" s="75"/>
      <c r="J124" s="73"/>
      <c r="K124" s="73"/>
      <c r="L124" s="75"/>
      <c r="M124" s="82"/>
      <c r="N124" s="75"/>
      <c r="O124" s="74"/>
      <c r="P124" s="74"/>
      <c r="Q124" s="74"/>
      <c r="R124" s="75"/>
      <c r="S124" s="74"/>
      <c r="T124" s="74"/>
      <c r="U124" s="74"/>
      <c r="V124" s="52"/>
      <c r="W124" s="52"/>
      <c r="X124" s="52"/>
      <c r="Y124" s="52"/>
      <c r="Z124" s="22"/>
      <c r="AA124" s="52"/>
      <c r="AB124" s="22"/>
      <c r="AC124" s="52"/>
      <c r="AD124" s="52"/>
      <c r="AE124" s="22"/>
      <c r="AF124" s="52"/>
      <c r="AG124" s="22"/>
      <c r="AH124" s="52"/>
      <c r="AI124" s="52"/>
      <c r="AJ124" s="52"/>
      <c r="AK124" s="52"/>
      <c r="AL124" s="22"/>
      <c r="AM124" s="52"/>
      <c r="AN124" s="22"/>
      <c r="AO124" s="22"/>
      <c r="AP124" s="22"/>
      <c r="AQ124" s="52"/>
      <c r="AR124" s="52"/>
      <c r="AS124" s="22"/>
      <c r="AT124" s="22"/>
      <c r="AU124" s="22"/>
      <c r="AV124" s="77"/>
      <c r="AW124" s="77"/>
      <c r="AX124" s="78"/>
      <c r="AY124" s="22"/>
      <c r="AZ124" s="22"/>
      <c r="BA124" s="22"/>
      <c r="BB124" s="22"/>
      <c r="BC124" s="52"/>
      <c r="BD124" s="52"/>
      <c r="BE124" s="22"/>
      <c r="BF124" s="52"/>
      <c r="BG124" s="52"/>
      <c r="BH124" s="22"/>
      <c r="BI124" s="22"/>
      <c r="BJ124" s="40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19"/>
      <c r="CX124" s="19"/>
      <c r="CY124" s="19"/>
      <c r="CZ124" s="19"/>
      <c r="DA124" s="21"/>
      <c r="DB124" s="21"/>
      <c r="DC124" s="79"/>
      <c r="DD124" s="79"/>
      <c r="DE124" s="79"/>
      <c r="DF124" s="79"/>
      <c r="DG124" s="79"/>
      <c r="DH124" s="51"/>
      <c r="DI124" s="39"/>
      <c r="DJ124" s="80"/>
      <c r="DK124" s="39"/>
      <c r="DL124" s="39"/>
      <c r="DM124" s="48"/>
      <c r="DN124" s="39"/>
      <c r="DO124" s="39"/>
      <c r="DP124" s="39"/>
      <c r="DQ124" s="39"/>
      <c r="DR124" s="39"/>
      <c r="DS124" s="39"/>
      <c r="DT124" s="39"/>
      <c r="DU124" s="19"/>
      <c r="DV124" s="40"/>
      <c r="DW124" s="40"/>
      <c r="DX124" s="21"/>
      <c r="DY124" s="21"/>
      <c r="DZ124" s="19"/>
      <c r="EA124" s="19"/>
      <c r="EB124" s="19"/>
      <c r="EC124" s="48"/>
      <c r="ED124" s="48"/>
      <c r="EE124" s="52"/>
      <c r="EF124" s="52"/>
      <c r="EG124" s="22"/>
      <c r="EH124" s="52"/>
      <c r="EI124" s="52"/>
      <c r="EJ124" s="22"/>
      <c r="EK124" s="40"/>
      <c r="EL124" s="19"/>
      <c r="EM124" s="19"/>
      <c r="EN124" s="40"/>
      <c r="EO124" s="40"/>
      <c r="EP124" s="40"/>
      <c r="EQ124" s="21"/>
      <c r="ER124" s="21"/>
      <c r="ES124" s="19"/>
      <c r="ET124" s="19"/>
      <c r="EU124" s="19"/>
      <c r="EV124" s="21"/>
      <c r="EW124" s="39"/>
      <c r="EX124" s="39"/>
      <c r="EY124" s="39"/>
      <c r="EZ124" s="39"/>
      <c r="FA124" s="39"/>
      <c r="FB124" s="39"/>
      <c r="FC124" s="39"/>
      <c r="FD124" s="39"/>
      <c r="FE124" s="39"/>
      <c r="FF124" s="39"/>
      <c r="FG124" s="39"/>
      <c r="FH124" s="39"/>
      <c r="FI124" s="39"/>
      <c r="FJ124" s="19"/>
      <c r="FK124" s="19"/>
      <c r="FL124" s="19"/>
      <c r="FM124" s="19"/>
      <c r="FN124" s="19"/>
      <c r="FO124" s="52"/>
      <c r="FP124" s="52"/>
      <c r="FQ124" s="22"/>
      <c r="FR124" s="52"/>
      <c r="FS124" s="22"/>
      <c r="FT124" s="22"/>
      <c r="FU124" s="40"/>
      <c r="FV124" s="19"/>
      <c r="FW124" s="19"/>
      <c r="FX124" s="19"/>
      <c r="FY124" s="19"/>
      <c r="FZ124" s="19"/>
      <c r="GA124" s="19"/>
      <c r="GB124" s="19"/>
      <c r="GC124" s="20"/>
      <c r="GD124" s="20"/>
      <c r="GE124" s="19"/>
      <c r="GF124" s="21"/>
      <c r="GG124" s="19"/>
      <c r="GH124" s="19"/>
      <c r="GI124" s="19"/>
      <c r="GJ124" s="21"/>
      <c r="GK124" s="19"/>
      <c r="GL124" s="19"/>
      <c r="GM124" s="19"/>
      <c r="GN124" s="19"/>
      <c r="GO124" s="22"/>
      <c r="GP124" s="22"/>
      <c r="GQ124" s="22"/>
      <c r="GR124" s="22"/>
      <c r="GS124" s="22"/>
      <c r="GT124" s="22"/>
      <c r="GU124" s="43"/>
      <c r="GV124" s="19"/>
      <c r="GW124" s="19"/>
      <c r="GX124" s="19"/>
      <c r="GY124" s="19"/>
      <c r="GZ124" s="23"/>
      <c r="HA124" s="22"/>
      <c r="HB124" s="22"/>
      <c r="HC124" s="22"/>
      <c r="HD124" s="52"/>
      <c r="HE124" s="22"/>
      <c r="HF124" s="22"/>
      <c r="HG124" s="233"/>
    </row>
    <row r="125" spans="2:215" ht="16.149999999999999" customHeight="1" thickBot="1">
      <c r="B125" s="15"/>
      <c r="C125" s="161" t="s">
        <v>638</v>
      </c>
      <c r="D125" s="82"/>
      <c r="E125" s="82"/>
      <c r="F125" s="74"/>
      <c r="G125" s="74"/>
      <c r="H125" s="74"/>
      <c r="I125" s="82"/>
      <c r="J125" s="82"/>
      <c r="K125" s="82"/>
      <c r="L125" s="82"/>
      <c r="M125" s="82"/>
      <c r="N125" s="82"/>
      <c r="O125" s="76"/>
      <c r="P125" s="76"/>
      <c r="Q125" s="76"/>
      <c r="R125" s="82"/>
      <c r="S125" s="82"/>
      <c r="T125" s="82"/>
      <c r="U125" s="82"/>
      <c r="V125" s="52"/>
      <c r="W125" s="52"/>
      <c r="X125" s="52"/>
      <c r="Y125" s="52"/>
      <c r="Z125" s="22"/>
      <c r="AA125" s="52"/>
      <c r="AB125" s="22"/>
      <c r="AC125" s="22"/>
      <c r="AD125" s="22"/>
      <c r="AE125" s="22"/>
      <c r="AF125" s="22"/>
      <c r="AG125" s="22"/>
      <c r="AH125" s="22"/>
      <c r="AI125" s="22"/>
      <c r="AJ125" s="5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77"/>
      <c r="AW125" s="77"/>
      <c r="AX125" s="78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40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19"/>
      <c r="CX125" s="19"/>
      <c r="CY125" s="19"/>
      <c r="CZ125" s="19"/>
      <c r="DA125" s="21"/>
      <c r="DB125" s="21"/>
      <c r="DC125" s="79"/>
      <c r="DD125" s="79"/>
      <c r="DE125" s="79"/>
      <c r="DF125" s="79"/>
      <c r="DG125" s="79"/>
      <c r="DH125" s="51"/>
      <c r="DI125" s="39"/>
      <c r="DJ125" s="80"/>
      <c r="DK125" s="39"/>
      <c r="DL125" s="39"/>
      <c r="DM125" s="48"/>
      <c r="DN125" s="39"/>
      <c r="DO125" s="39"/>
      <c r="DP125" s="39"/>
      <c r="DQ125" s="39"/>
      <c r="DR125" s="39"/>
      <c r="DS125" s="39"/>
      <c r="DT125" s="39"/>
      <c r="DU125" s="19"/>
      <c r="DV125" s="40"/>
      <c r="DW125" s="40"/>
      <c r="DX125" s="21"/>
      <c r="DY125" s="21"/>
      <c r="DZ125" s="19"/>
      <c r="EA125" s="19"/>
      <c r="EB125" s="19"/>
      <c r="EC125" s="48"/>
      <c r="ED125" s="48"/>
      <c r="EE125" s="22"/>
      <c r="EF125" s="22"/>
      <c r="EG125" s="22"/>
      <c r="EH125" s="22"/>
      <c r="EI125" s="22"/>
      <c r="EJ125" s="22"/>
      <c r="EK125" s="83"/>
      <c r="EL125" s="19"/>
      <c r="EM125" s="19"/>
      <c r="EN125" s="146"/>
      <c r="EO125" s="146"/>
      <c r="EP125" s="146"/>
      <c r="EQ125" s="21"/>
      <c r="ER125" s="21"/>
      <c r="ES125" s="19"/>
      <c r="ET125" s="19"/>
      <c r="EU125" s="19"/>
      <c r="EV125" s="21"/>
      <c r="EW125" s="39"/>
      <c r="EX125" s="39"/>
      <c r="EY125" s="39"/>
      <c r="EZ125" s="39"/>
      <c r="FA125" s="39"/>
      <c r="FB125" s="39"/>
      <c r="FC125" s="39"/>
      <c r="FD125" s="39"/>
      <c r="FE125" s="39"/>
      <c r="FF125" s="39"/>
      <c r="FG125" s="39"/>
      <c r="FH125" s="39"/>
      <c r="FI125" s="39"/>
      <c r="FJ125" s="19"/>
      <c r="FK125" s="19"/>
      <c r="FL125" s="19"/>
      <c r="FM125" s="19"/>
      <c r="FN125" s="19"/>
      <c r="FO125" s="22">
        <v>266.52999999999997</v>
      </c>
      <c r="FP125" s="22">
        <v>273.74</v>
      </c>
      <c r="FQ125" s="22"/>
      <c r="FR125" s="22">
        <v>266.52999999999997</v>
      </c>
      <c r="FS125" s="22">
        <v>273.74</v>
      </c>
      <c r="FT125" s="22"/>
      <c r="FU125" s="83" t="s">
        <v>627</v>
      </c>
      <c r="FV125" s="19"/>
      <c r="FW125" s="19"/>
      <c r="FX125" s="19"/>
      <c r="FY125" s="19"/>
      <c r="FZ125" s="19"/>
      <c r="GA125" s="19"/>
      <c r="GB125" s="19"/>
      <c r="GC125" s="20"/>
      <c r="GD125" s="20"/>
      <c r="GE125" s="19"/>
      <c r="GF125" s="21"/>
      <c r="GG125" s="19"/>
      <c r="GH125" s="19"/>
      <c r="GI125" s="19"/>
      <c r="GJ125" s="21"/>
      <c r="GK125" s="19"/>
      <c r="GL125" s="19"/>
      <c r="GM125" s="19"/>
      <c r="GN125" s="19"/>
      <c r="GO125" s="57">
        <v>273.74</v>
      </c>
      <c r="GP125" s="57">
        <v>539.78</v>
      </c>
      <c r="GQ125" s="57"/>
      <c r="GR125" s="57">
        <v>273.74</v>
      </c>
      <c r="GS125" s="57">
        <v>539.78</v>
      </c>
      <c r="GT125" s="57"/>
      <c r="GU125" s="83" t="s">
        <v>627</v>
      </c>
      <c r="GV125" s="19"/>
      <c r="GW125" s="19"/>
      <c r="GX125" s="19"/>
      <c r="GY125" s="19"/>
      <c r="GZ125" s="19"/>
      <c r="HA125" s="22">
        <v>539.78</v>
      </c>
      <c r="HB125" s="22">
        <v>539.12</v>
      </c>
      <c r="HC125" s="22"/>
      <c r="HD125" s="22">
        <v>539.78</v>
      </c>
      <c r="HE125" s="22">
        <v>539.12</v>
      </c>
      <c r="HF125" s="22"/>
      <c r="HG125" s="235" t="s">
        <v>627</v>
      </c>
    </row>
    <row r="126" spans="2:215" ht="16.5" thickBot="1">
      <c r="B126" s="7" t="s">
        <v>278</v>
      </c>
      <c r="C126" s="80" t="s">
        <v>279</v>
      </c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>
        <f t="shared" si="694"/>
        <v>0</v>
      </c>
      <c r="Y126" s="80"/>
      <c r="Z126" s="80">
        <f t="shared" si="568"/>
        <v>0</v>
      </c>
      <c r="AA126" s="80"/>
      <c r="AB126" s="80">
        <f t="shared" si="569"/>
        <v>0</v>
      </c>
      <c r="AC126" s="80"/>
      <c r="AD126" s="80"/>
      <c r="AE126" s="80">
        <f t="shared" si="707"/>
        <v>0</v>
      </c>
      <c r="AF126" s="80"/>
      <c r="AG126" s="80">
        <f>+IF(AC126=0,,AF126/AC126*100)</f>
        <v>0</v>
      </c>
      <c r="AH126" s="80"/>
      <c r="AI126" s="80"/>
      <c r="AJ126" s="80">
        <f t="shared" si="571"/>
        <v>0</v>
      </c>
      <c r="AK126" s="80"/>
      <c r="AL126" s="80">
        <f t="shared" si="572"/>
        <v>0</v>
      </c>
      <c r="AM126" s="80"/>
      <c r="AN126" s="80">
        <f t="shared" si="573"/>
        <v>0</v>
      </c>
      <c r="AO126" s="80">
        <f t="shared" si="695"/>
        <v>0</v>
      </c>
      <c r="AP126" s="80">
        <f t="shared" si="575"/>
        <v>0</v>
      </c>
      <c r="AQ126" s="80"/>
      <c r="AR126" s="80"/>
      <c r="AS126" s="80">
        <f t="shared" si="708"/>
        <v>0</v>
      </c>
      <c r="AT126" s="80"/>
      <c r="AU126" s="80">
        <f>+IF(AQ126=0,,AT126/AQ126*100)</f>
        <v>0</v>
      </c>
      <c r="AV126" s="77"/>
      <c r="AW126" s="77" t="e">
        <f>+CY126/$CY$126*100</f>
        <v>#DIV/0!</v>
      </c>
      <c r="AX126" s="78"/>
      <c r="AY126" s="80">
        <f t="shared" si="577"/>
        <v>0</v>
      </c>
      <c r="AZ126" s="80"/>
      <c r="BA126" s="80"/>
      <c r="BB126" s="80"/>
      <c r="BC126" s="80"/>
      <c r="BD126" s="80"/>
      <c r="BE126" s="22">
        <f t="shared" si="634"/>
        <v>0</v>
      </c>
      <c r="BF126" s="80"/>
      <c r="BG126" s="80"/>
      <c r="BH126" s="22">
        <f t="shared" si="635"/>
        <v>0</v>
      </c>
      <c r="BI126" s="22"/>
      <c r="BJ126" s="40"/>
      <c r="BK126" s="80">
        <f t="shared" si="578"/>
        <v>0</v>
      </c>
      <c r="BL126" s="80">
        <f t="shared" si="579"/>
        <v>0</v>
      </c>
      <c r="BM126" s="80">
        <f t="shared" si="580"/>
        <v>0</v>
      </c>
      <c r="BN126" s="80">
        <f t="shared" si="581"/>
        <v>0</v>
      </c>
      <c r="BO126" s="80">
        <f t="shared" si="582"/>
        <v>0</v>
      </c>
      <c r="BP126" s="80">
        <f t="shared" si="583"/>
        <v>0</v>
      </c>
      <c r="BQ126" s="80">
        <f t="shared" si="584"/>
        <v>0</v>
      </c>
      <c r="BR126" s="80">
        <f t="shared" si="585"/>
        <v>0</v>
      </c>
      <c r="BS126" s="80">
        <f t="shared" si="586"/>
        <v>0</v>
      </c>
      <c r="BT126" s="80">
        <f t="shared" si="587"/>
        <v>0</v>
      </c>
      <c r="BU126" s="80">
        <f t="shared" si="588"/>
        <v>0</v>
      </c>
      <c r="BV126" s="80">
        <f t="shared" si="589"/>
        <v>0</v>
      </c>
      <c r="BW126" s="80"/>
      <c r="BX126" s="48">
        <f>+SUM(BX127:BX135)</f>
        <v>0</v>
      </c>
      <c r="BY126" s="48">
        <f>+SUM(BY127:BY135)</f>
        <v>0</v>
      </c>
      <c r="BZ126" s="80">
        <f>+AC126*R126/1000</f>
        <v>0</v>
      </c>
      <c r="CA126" s="80"/>
      <c r="CB126" s="48">
        <f>+SUM(CB127:CB135)</f>
        <v>0</v>
      </c>
      <c r="CC126" s="48">
        <f>+SUM(CC127:CC135)</f>
        <v>0</v>
      </c>
      <c r="CD126" s="80">
        <f t="shared" si="590"/>
        <v>0</v>
      </c>
      <c r="CE126" s="80">
        <f t="shared" ref="CE126" si="709">+IF(R126=0,,BN126/R126*1000)</f>
        <v>0</v>
      </c>
      <c r="CF126" s="80">
        <f t="shared" ref="CF126" si="710">+IF(I126=0,,BR126/I126*1000)</f>
        <v>0</v>
      </c>
      <c r="CG126" s="80">
        <f t="shared" ref="CG126" si="711">+IF(I126=0,,BV126/I126*1000)</f>
        <v>0</v>
      </c>
      <c r="CH126" s="80">
        <f t="shared" ref="CH126" si="712">+IF(E126=0,,BL126/E126*1000*1.18)</f>
        <v>0</v>
      </c>
      <c r="CI126" s="80">
        <f t="shared" ref="CI126" si="713">+IF(E126=0,,BP126/E126*1.18*1000)</f>
        <v>0</v>
      </c>
      <c r="CJ126" s="80">
        <f t="shared" ref="CJ126" si="714">+IF(E126=0,,BT126/E126*1.18*1000)</f>
        <v>0</v>
      </c>
      <c r="CK126" s="80">
        <f t="shared" ref="CK126" si="715">+IF(D126=0,,BK126/D126*1000)</f>
        <v>0</v>
      </c>
      <c r="CL126" s="80">
        <f t="shared" ref="CL126" si="716">+IF(D126=0,,BO126/D126*1000)</f>
        <v>0</v>
      </c>
      <c r="CM126" s="80">
        <f t="shared" ref="CM126" si="717">+IF(D126=0,,BS126/D126*1000)</f>
        <v>0</v>
      </c>
      <c r="CN126" s="80">
        <f t="shared" ref="CN126" si="718">+IF((D126+D126+D126)=0,,(BK126+BO126+BS126)/(D126+D126+D126))*1000</f>
        <v>0</v>
      </c>
      <c r="CO126" s="80">
        <f t="shared" ref="CO126" si="719">+IF(R126=0,,BZ126/R126*1000)</f>
        <v>0</v>
      </c>
      <c r="CP126" s="80">
        <f t="shared" ref="CP126" si="720">+IF(R126=0,,CD126/R126*1000)</f>
        <v>0</v>
      </c>
      <c r="CQ126" s="80">
        <f t="shared" ref="CQ126" si="721">+IF(N126=0,,BX126/N126*1.18*1000)</f>
        <v>0</v>
      </c>
      <c r="CR126" s="80">
        <f t="shared" ref="CR126" si="722">+IF(N126=0,,CB126/N126*1.18*1000)</f>
        <v>0</v>
      </c>
      <c r="CS126" s="80">
        <f t="shared" ref="CS126" si="723">+IF(M126=0,,BW126/M126*1000)</f>
        <v>0</v>
      </c>
      <c r="CT126" s="80">
        <f t="shared" ref="CT126" si="724">+IF(M126=0,,CA126/M126*1000)</f>
        <v>0</v>
      </c>
      <c r="CU126" s="80">
        <f t="shared" ref="CU126" si="725">+IF((M126+M126)=0,,(CA126+BW126)/(M126+M126))*1000</f>
        <v>0</v>
      </c>
      <c r="CV126" s="80">
        <f t="shared" si="608"/>
        <v>0</v>
      </c>
      <c r="CW126" s="48">
        <f>+SUM(CW127:CW135)</f>
        <v>0</v>
      </c>
      <c r="CX126" s="48">
        <f>+SUM(CX127:CX135)</f>
        <v>0</v>
      </c>
      <c r="CY126" s="48">
        <f>+SUM(CY127:CY135)</f>
        <v>0</v>
      </c>
      <c r="CZ126" s="48">
        <f>+SUM(CZ127:CZ135)</f>
        <v>0</v>
      </c>
      <c r="DA126" s="20">
        <f t="shared" si="609"/>
        <v>0</v>
      </c>
      <c r="DB126" s="20">
        <f t="shared" si="610"/>
        <v>0</v>
      </c>
      <c r="DC126" s="20">
        <f t="shared" si="611"/>
        <v>0</v>
      </c>
      <c r="DD126" s="20">
        <f t="shared" si="611"/>
        <v>0</v>
      </c>
      <c r="DE126" s="79">
        <f t="shared" ref="DE126:DF126" si="726">+(O126+S126)*AC126/1000</f>
        <v>0</v>
      </c>
      <c r="DF126" s="79">
        <f t="shared" si="726"/>
        <v>0</v>
      </c>
      <c r="DG126" s="79">
        <f t="shared" ref="DG126" si="727">+AF126*(Q126+U126)/1000</f>
        <v>0</v>
      </c>
      <c r="DH126" s="51">
        <f t="shared" si="614"/>
        <v>0</v>
      </c>
      <c r="DI126" s="39"/>
      <c r="DJ126" s="80">
        <f t="shared" ref="DJ126" si="728">+(F126+J126)*W126/1000</f>
        <v>0</v>
      </c>
      <c r="DK126" s="39">
        <f t="shared" ref="DK126" si="729">+Y126*(G126+K126)/1000</f>
        <v>0</v>
      </c>
      <c r="DL126" s="39">
        <f t="shared" ref="DL126" si="730">+(H126+L126)*AA126/1000</f>
        <v>0</v>
      </c>
      <c r="DM126" s="48">
        <f>+AT126-'[2]тарифы (12-13) население 15%'!AP175</f>
        <v>0</v>
      </c>
      <c r="DN126" s="39"/>
      <c r="DO126" s="39"/>
      <c r="DP126" s="39"/>
      <c r="DQ126" s="39"/>
      <c r="DR126" s="39"/>
      <c r="DS126" s="39"/>
      <c r="DT126" s="39"/>
      <c r="DU126" s="19">
        <f t="shared" si="636"/>
        <v>0</v>
      </c>
      <c r="DV126" s="42">
        <f>+SUM(DV127:DV135)</f>
        <v>12140.509537288139</v>
      </c>
      <c r="DW126" s="42">
        <f>+SUM(DW127:DW135)</f>
        <v>22342.724523200002</v>
      </c>
      <c r="DX126" s="42">
        <f>+'[1]тарифы (НВВ) население на 4,2%'!CO182</f>
        <v>65.752754767764955</v>
      </c>
      <c r="DY126" s="42">
        <f t="shared" si="618"/>
        <v>54.337641430801355</v>
      </c>
      <c r="DZ126" s="19">
        <f t="shared" si="619"/>
        <v>0</v>
      </c>
      <c r="EA126" s="19">
        <f t="shared" si="620"/>
        <v>0</v>
      </c>
      <c r="EB126" s="19"/>
      <c r="EC126" s="22">
        <f>+SUM(EC127:EC135)</f>
        <v>10143.005759898304</v>
      </c>
      <c r="ED126" s="22">
        <f>+SUM(ED127:ED135)</f>
        <v>10061.963264725426</v>
      </c>
      <c r="EE126" s="80"/>
      <c r="EF126" s="80"/>
      <c r="EG126" s="22">
        <f t="shared" si="621"/>
        <v>0</v>
      </c>
      <c r="EH126" s="80"/>
      <c r="EI126" s="80"/>
      <c r="EJ126" s="22">
        <f t="shared" si="622"/>
        <v>0</v>
      </c>
      <c r="EK126" s="40"/>
      <c r="EL126" s="40"/>
      <c r="EM126" s="40"/>
      <c r="EN126" s="146">
        <f>+SUM(EN127:EN135)</f>
        <v>13317.056821016948</v>
      </c>
      <c r="EO126" s="146">
        <f>+SUM(EO127:EO135)</f>
        <v>23782.904382700002</v>
      </c>
      <c r="EP126" s="146" t="e">
        <f>+$EN$442/$EN$445*EN126</f>
        <v>#REF!</v>
      </c>
      <c r="EQ126" s="42">
        <f t="shared" si="623"/>
        <v>55.994241101620666</v>
      </c>
      <c r="ER126" s="42" t="e">
        <f>+IF((EN126+EP126)=0,,(EN126+EP126)/(EO126+EP126))*100</f>
        <v>#REF!</v>
      </c>
      <c r="ES126" s="42"/>
      <c r="ET126" s="42"/>
      <c r="EU126" s="19">
        <f t="shared" si="624"/>
        <v>0</v>
      </c>
      <c r="EV126" s="42"/>
      <c r="EW126" s="39"/>
      <c r="EX126" s="39">
        <f t="shared" si="625"/>
        <v>0</v>
      </c>
      <c r="EY126" s="39">
        <f t="shared" ref="EY126:EY156" si="731">+EF126*AY126</f>
        <v>0</v>
      </c>
      <c r="EZ126" s="39"/>
      <c r="FA126" s="39"/>
      <c r="FB126" s="39"/>
      <c r="FC126" s="39"/>
      <c r="FD126" s="39"/>
      <c r="FE126" s="39"/>
      <c r="FF126" s="39"/>
      <c r="FG126" s="39"/>
      <c r="FH126" s="39"/>
      <c r="FI126" s="39"/>
      <c r="FJ126" s="41">
        <f>+SUM(FJ127:FJ135)</f>
        <v>10061.683589216949</v>
      </c>
      <c r="FK126" s="41">
        <f>+SUM(FK127:FK135)</f>
        <v>10465.847561683051</v>
      </c>
      <c r="FL126" s="41">
        <f t="shared" si="626"/>
        <v>20527.531150900002</v>
      </c>
      <c r="FM126" s="40"/>
      <c r="FN126" s="40"/>
      <c r="FO126" s="80">
        <f t="shared" si="627"/>
        <v>0</v>
      </c>
      <c r="FP126" s="80"/>
      <c r="FQ126" s="22"/>
      <c r="FR126" s="80">
        <f t="shared" si="628"/>
        <v>0</v>
      </c>
      <c r="FS126" s="80"/>
      <c r="FT126" s="22"/>
      <c r="FU126" s="40"/>
      <c r="FV126" s="41">
        <f t="shared" ref="FV126:GB126" si="732">+SUM(FV127:FV135)</f>
        <v>0</v>
      </c>
      <c r="FW126" s="41">
        <f t="shared" si="732"/>
        <v>0</v>
      </c>
      <c r="FX126" s="41">
        <f t="shared" si="732"/>
        <v>0</v>
      </c>
      <c r="FY126" s="41">
        <f t="shared" si="732"/>
        <v>0</v>
      </c>
      <c r="FZ126" s="41">
        <f t="shared" si="732"/>
        <v>0</v>
      </c>
      <c r="GA126" s="41">
        <f t="shared" si="732"/>
        <v>0</v>
      </c>
      <c r="GB126" s="41">
        <f t="shared" si="732"/>
        <v>0</v>
      </c>
      <c r="GC126" s="20">
        <f t="shared" si="630"/>
        <v>0</v>
      </c>
      <c r="GD126" s="20">
        <f t="shared" si="562"/>
        <v>0</v>
      </c>
      <c r="GE126" s="42"/>
      <c r="GF126" s="42"/>
      <c r="GG126" s="42"/>
      <c r="GH126" s="42"/>
      <c r="GI126" s="42"/>
      <c r="GJ126" s="42"/>
      <c r="GK126" s="42"/>
      <c r="GL126" s="42"/>
      <c r="GM126" s="40"/>
      <c r="GN126" s="40"/>
      <c r="GO126" s="80"/>
      <c r="GP126" s="80"/>
      <c r="GQ126" s="22"/>
      <c r="GR126" s="80"/>
      <c r="GS126" s="80"/>
      <c r="GT126" s="22"/>
      <c r="GU126" s="43"/>
      <c r="GV126" s="41"/>
      <c r="GW126" s="41"/>
      <c r="GX126" s="41">
        <f>+SUM(GX127:GX135)</f>
        <v>0</v>
      </c>
      <c r="GY126" s="41">
        <f>+SUM(GY127:GY135)</f>
        <v>0</v>
      </c>
      <c r="GZ126" s="44">
        <f t="shared" ref="GZ126" si="733">+IF(GY126=0,,GX126/GY126*100)</f>
        <v>0</v>
      </c>
      <c r="HA126" s="80"/>
      <c r="HB126" s="80"/>
      <c r="HC126" s="22"/>
      <c r="HD126" s="80"/>
      <c r="HE126" s="80"/>
      <c r="HF126" s="22"/>
      <c r="HG126" s="233"/>
    </row>
    <row r="127" spans="2:215" ht="15.75">
      <c r="B127" s="10" t="s">
        <v>280</v>
      </c>
      <c r="C127" s="192" t="s">
        <v>152</v>
      </c>
      <c r="D127" s="76"/>
      <c r="E127" s="76"/>
      <c r="F127" s="74"/>
      <c r="G127" s="74"/>
      <c r="H127" s="74"/>
      <c r="I127" s="76"/>
      <c r="J127" s="76"/>
      <c r="K127" s="76"/>
      <c r="L127" s="76"/>
      <c r="M127" s="76"/>
      <c r="N127" s="74"/>
      <c r="O127" s="74"/>
      <c r="P127" s="74"/>
      <c r="Q127" s="74"/>
      <c r="R127" s="74"/>
      <c r="S127" s="74"/>
      <c r="T127" s="74"/>
      <c r="U127" s="74"/>
      <c r="V127" s="52"/>
      <c r="W127" s="52"/>
      <c r="X127" s="52"/>
      <c r="Y127" s="52"/>
      <c r="Z127" s="22"/>
      <c r="AA127" s="52"/>
      <c r="AB127" s="22"/>
      <c r="AC127" s="52"/>
      <c r="AD127" s="22"/>
      <c r="AE127" s="22"/>
      <c r="AF127" s="22"/>
      <c r="AG127" s="22">
        <f t="shared" ref="AG127:AG133" si="734">+IF(AD127=0,,AF127/AD127*100)</f>
        <v>0</v>
      </c>
      <c r="AH127" s="52"/>
      <c r="AI127" s="52"/>
      <c r="AJ127" s="52"/>
      <c r="AK127" s="52"/>
      <c r="AL127" s="22"/>
      <c r="AM127" s="52"/>
      <c r="AN127" s="22"/>
      <c r="AO127" s="22"/>
      <c r="AP127" s="22"/>
      <c r="AQ127" s="22"/>
      <c r="AR127" s="22"/>
      <c r="AS127" s="22"/>
      <c r="AT127" s="22"/>
      <c r="AU127" s="22">
        <f t="shared" ref="AU127:AU133" si="735">+IF(AR127=0,,AT127/AR127*100)</f>
        <v>0</v>
      </c>
      <c r="AV127" s="77"/>
      <c r="AW127" s="77"/>
      <c r="AX127" s="78"/>
      <c r="AY127" s="22">
        <f t="shared" si="577"/>
        <v>0</v>
      </c>
      <c r="AZ127" s="22"/>
      <c r="BA127" s="22"/>
      <c r="BB127" s="22"/>
      <c r="BC127" s="22"/>
      <c r="BD127" s="22"/>
      <c r="BE127" s="22">
        <f t="shared" si="634"/>
        <v>0</v>
      </c>
      <c r="BF127" s="22"/>
      <c r="BG127" s="22"/>
      <c r="BH127" s="22">
        <f t="shared" si="635"/>
        <v>0</v>
      </c>
      <c r="BI127" s="22"/>
      <c r="BJ127" s="40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19"/>
      <c r="CX127" s="19"/>
      <c r="CY127" s="19"/>
      <c r="CZ127" s="19"/>
      <c r="DA127" s="21"/>
      <c r="DB127" s="21"/>
      <c r="DC127" s="79"/>
      <c r="DD127" s="79"/>
      <c r="DE127" s="79"/>
      <c r="DF127" s="79"/>
      <c r="DG127" s="79"/>
      <c r="DH127" s="51"/>
      <c r="DI127" s="39"/>
      <c r="DJ127" s="80"/>
      <c r="DK127" s="39"/>
      <c r="DL127" s="39"/>
      <c r="DM127" s="48"/>
      <c r="DN127" s="39"/>
      <c r="DO127" s="39"/>
      <c r="DP127" s="39"/>
      <c r="DQ127" s="39"/>
      <c r="DR127" s="39"/>
      <c r="DS127" s="39"/>
      <c r="DT127" s="39"/>
      <c r="DU127" s="19">
        <f t="shared" si="636"/>
        <v>0</v>
      </c>
      <c r="DV127" s="40">
        <f t="shared" si="637"/>
        <v>0</v>
      </c>
      <c r="DW127" s="40">
        <f t="shared" si="638"/>
        <v>0</v>
      </c>
      <c r="DX127" s="46"/>
      <c r="DY127" s="21">
        <f t="shared" si="618"/>
        <v>0</v>
      </c>
      <c r="DZ127" s="19">
        <f t="shared" si="619"/>
        <v>0</v>
      </c>
      <c r="EA127" s="19">
        <f t="shared" si="620"/>
        <v>0</v>
      </c>
      <c r="EB127" s="19"/>
      <c r="EC127" s="48">
        <f t="shared" ref="EC127:EC133" si="736">+(BC127-BF127/1.18)*AZ127/2</f>
        <v>0</v>
      </c>
      <c r="ED127" s="48">
        <f t="shared" ref="ED127:ED133" si="737">+(BD127-BG127/1.18)*AZ127/2</f>
        <v>0</v>
      </c>
      <c r="EE127" s="22"/>
      <c r="EF127" s="22"/>
      <c r="EG127" s="22">
        <f t="shared" si="621"/>
        <v>0</v>
      </c>
      <c r="EH127" s="22"/>
      <c r="EI127" s="22"/>
      <c r="EJ127" s="22">
        <f t="shared" si="622"/>
        <v>0</v>
      </c>
      <c r="EK127" s="40"/>
      <c r="EL127" s="19"/>
      <c r="EM127" s="19"/>
      <c r="EN127" s="40">
        <f t="shared" si="641"/>
        <v>0</v>
      </c>
      <c r="EO127" s="40">
        <f t="shared" si="642"/>
        <v>0</v>
      </c>
      <c r="EP127" s="40"/>
      <c r="EQ127" s="21">
        <f t="shared" si="623"/>
        <v>0</v>
      </c>
      <c r="ER127" s="21"/>
      <c r="ES127" s="21">
        <f t="shared" ref="ES127:ES133" si="738">+EL127*EE127</f>
        <v>0</v>
      </c>
      <c r="ET127" s="21"/>
      <c r="EU127" s="19">
        <f t="shared" si="624"/>
        <v>0</v>
      </c>
      <c r="EV127" s="21"/>
      <c r="EW127" s="39"/>
      <c r="EX127" s="39">
        <f t="shared" si="625"/>
        <v>0</v>
      </c>
      <c r="EY127" s="39">
        <f t="shared" si="731"/>
        <v>0</v>
      </c>
      <c r="EZ127" s="39"/>
      <c r="FA127" s="39"/>
      <c r="FB127" s="39"/>
      <c r="FC127" s="39"/>
      <c r="FD127" s="39"/>
      <c r="FE127" s="39"/>
      <c r="FF127" s="39"/>
      <c r="FG127" s="39"/>
      <c r="FH127" s="39"/>
      <c r="FI127" s="39"/>
      <c r="FJ127" s="19">
        <f t="shared" si="643"/>
        <v>0</v>
      </c>
      <c r="FK127" s="19">
        <f t="shared" si="644"/>
        <v>0</v>
      </c>
      <c r="FL127" s="19">
        <f t="shared" si="626"/>
        <v>0</v>
      </c>
      <c r="FM127" s="19"/>
      <c r="FN127" s="19"/>
      <c r="FO127" s="22">
        <f t="shared" si="627"/>
        <v>0</v>
      </c>
      <c r="FP127" s="22"/>
      <c r="FQ127" s="22"/>
      <c r="FR127" s="22">
        <f t="shared" si="628"/>
        <v>0</v>
      </c>
      <c r="FS127" s="22"/>
      <c r="FT127" s="22"/>
      <c r="FU127" s="40"/>
      <c r="FV127" s="19">
        <f t="shared" ref="FV127" si="739">+(FO127-FR127/1.18)*FN127</f>
        <v>0</v>
      </c>
      <c r="FW127" s="19">
        <f t="shared" ref="FW127" si="740">+(FP127-FS127/1.18)*FN127</f>
        <v>0</v>
      </c>
      <c r="FX127" s="19">
        <f t="shared" si="646"/>
        <v>0</v>
      </c>
      <c r="FY127" s="19">
        <f t="shared" si="647"/>
        <v>0</v>
      </c>
      <c r="FZ127" s="19">
        <f t="shared" si="648"/>
        <v>0</v>
      </c>
      <c r="GA127" s="19">
        <f t="shared" si="649"/>
        <v>0</v>
      </c>
      <c r="GB127" s="19">
        <f t="shared" si="650"/>
        <v>0</v>
      </c>
      <c r="GC127" s="20">
        <f t="shared" si="630"/>
        <v>0</v>
      </c>
      <c r="GD127" s="20">
        <f t="shared" ref="GD127:GD139" si="741">+IF(GB127=0,,GA127/GB127*100)</f>
        <v>0</v>
      </c>
      <c r="GE127" s="21"/>
      <c r="GF127" s="21">
        <f t="shared" ref="GF127" si="742">+FR127*FN127</f>
        <v>0</v>
      </c>
      <c r="GG127" s="21"/>
      <c r="GH127" s="21"/>
      <c r="GI127" s="21">
        <f t="shared" ref="GI127" si="743">+FP127*FM127</f>
        <v>0</v>
      </c>
      <c r="GJ127" s="21">
        <f t="shared" ref="GJ127" si="744">+FS127*FN127</f>
        <v>0</v>
      </c>
      <c r="GK127" s="21"/>
      <c r="GL127" s="21"/>
      <c r="GM127" s="19"/>
      <c r="GN127" s="19"/>
      <c r="GO127" s="22"/>
      <c r="GP127" s="22"/>
      <c r="GQ127" s="22"/>
      <c r="GR127" s="22"/>
      <c r="GS127" s="22"/>
      <c r="GT127" s="22"/>
      <c r="GU127" s="43"/>
      <c r="GV127" s="19"/>
      <c r="GW127" s="19"/>
      <c r="GX127" s="19"/>
      <c r="GY127" s="19"/>
      <c r="GZ127" s="19"/>
      <c r="HA127" s="22"/>
      <c r="HB127" s="22"/>
      <c r="HC127" s="22"/>
      <c r="HD127" s="22"/>
      <c r="HE127" s="22"/>
      <c r="HF127" s="22"/>
      <c r="HG127" s="233"/>
    </row>
    <row r="128" spans="2:215" ht="15.75">
      <c r="B128" s="10"/>
      <c r="C128" s="161" t="s">
        <v>153</v>
      </c>
      <c r="D128" s="76"/>
      <c r="E128" s="76"/>
      <c r="F128" s="74"/>
      <c r="G128" s="74"/>
      <c r="H128" s="74"/>
      <c r="I128" s="76"/>
      <c r="J128" s="76"/>
      <c r="K128" s="76"/>
      <c r="L128" s="76"/>
      <c r="M128" s="76"/>
      <c r="N128" s="74"/>
      <c r="O128" s="74"/>
      <c r="P128" s="74"/>
      <c r="Q128" s="74"/>
      <c r="R128" s="74"/>
      <c r="S128" s="74"/>
      <c r="T128" s="74"/>
      <c r="U128" s="74"/>
      <c r="V128" s="52"/>
      <c r="W128" s="52"/>
      <c r="X128" s="52"/>
      <c r="Y128" s="52"/>
      <c r="Z128" s="22"/>
      <c r="AA128" s="52"/>
      <c r="AB128" s="22"/>
      <c r="AC128" s="52"/>
      <c r="AD128" s="52">
        <v>2523.4</v>
      </c>
      <c r="AE128" s="22">
        <f>+IF(AC128=0,,AF128/AC128*100)</f>
        <v>0</v>
      </c>
      <c r="AF128" s="22">
        <v>2523.4</v>
      </c>
      <c r="AG128" s="22">
        <f t="shared" si="734"/>
        <v>100</v>
      </c>
      <c r="AH128" s="52"/>
      <c r="AI128" s="52"/>
      <c r="AJ128" s="52"/>
      <c r="AK128" s="52"/>
      <c r="AL128" s="22"/>
      <c r="AM128" s="52"/>
      <c r="AN128" s="22"/>
      <c r="AO128" s="22"/>
      <c r="AP128" s="22"/>
      <c r="AQ128" s="22"/>
      <c r="AR128" s="22">
        <v>1531.57</v>
      </c>
      <c r="AS128" s="22">
        <f>+IF(AQ128=0,,AT128/AQ128*100)</f>
        <v>0</v>
      </c>
      <c r="AT128" s="22">
        <v>1710.75</v>
      </c>
      <c r="AU128" s="22">
        <f t="shared" si="735"/>
        <v>111.69910614598093</v>
      </c>
      <c r="AV128" s="77"/>
      <c r="AW128" s="77"/>
      <c r="AX128" s="78" t="s">
        <v>139</v>
      </c>
      <c r="AY128" s="22">
        <f t="shared" si="577"/>
        <v>8.3627800000000008</v>
      </c>
      <c r="AZ128" s="22">
        <f>+[7]БПр!$BX$1948/1000</f>
        <v>3.9071400000000009</v>
      </c>
      <c r="BA128" s="22">
        <f>+[8]БПр!$BW$1948/1000</f>
        <v>3.8601399999999999</v>
      </c>
      <c r="BB128" s="22">
        <f>+([8]БПр!$BY$1948+[8]БПр!$BN$1948)/1000</f>
        <v>0.59550000000000003</v>
      </c>
      <c r="BC128" s="22">
        <v>2523.4</v>
      </c>
      <c r="BD128" s="22">
        <v>2629.38</v>
      </c>
      <c r="BE128" s="22">
        <f t="shared" si="634"/>
        <v>104.19988903859871</v>
      </c>
      <c r="BF128" s="22">
        <v>1710.75</v>
      </c>
      <c r="BG128" s="22">
        <v>1782.6</v>
      </c>
      <c r="BH128" s="22">
        <f t="shared" si="635"/>
        <v>104.19991231915826</v>
      </c>
      <c r="BI128" s="22">
        <f>+BD128-BG128/1.18</f>
        <v>1118.7020338983052</v>
      </c>
      <c r="BJ128" s="40" t="s">
        <v>140</v>
      </c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19"/>
      <c r="CX128" s="19"/>
      <c r="CY128" s="19"/>
      <c r="CZ128" s="19"/>
      <c r="DA128" s="21"/>
      <c r="DB128" s="21"/>
      <c r="DC128" s="79"/>
      <c r="DD128" s="79"/>
      <c r="DE128" s="79"/>
      <c r="DF128" s="79"/>
      <c r="DG128" s="79"/>
      <c r="DH128" s="51"/>
      <c r="DI128" s="39"/>
      <c r="DJ128" s="80"/>
      <c r="DK128" s="39"/>
      <c r="DL128" s="39"/>
      <c r="DM128" s="48"/>
      <c r="DN128" s="39"/>
      <c r="DO128" s="39"/>
      <c r="DP128" s="39"/>
      <c r="DQ128" s="39"/>
      <c r="DR128" s="39"/>
      <c r="DS128" s="39"/>
      <c r="DT128" s="39"/>
      <c r="DU128" s="19">
        <f t="shared" si="636"/>
        <v>5664.525216101697</v>
      </c>
      <c r="DV128" s="40">
        <f t="shared" si="637"/>
        <v>5902.4303084745779</v>
      </c>
      <c r="DW128" s="40">
        <f t="shared" si="638"/>
        <v>10273.355773200003</v>
      </c>
      <c r="DX128" s="21">
        <f>+('[1]тарифы (НВВ) население на 4,2%'!CL184+'[1]тарифы (НВВ) население на 4,2%'!CL185)/('[1]тарифы (НВВ) население на 4,2%'!CM184+'[1]тарифы (НВВ) население на 4,2%'!CM185)*100</f>
        <v>43.052919337896775</v>
      </c>
      <c r="DY128" s="21">
        <f t="shared" si="618"/>
        <v>57.453771082981341</v>
      </c>
      <c r="DZ128" s="19">
        <f t="shared" si="619"/>
        <v>21.102639052000001</v>
      </c>
      <c r="EA128" s="19">
        <f t="shared" si="620"/>
        <v>21.988926476400003</v>
      </c>
      <c r="EB128" s="48">
        <v>1859.47</v>
      </c>
      <c r="EC128" s="48">
        <f>+(BC128-BF128/1.18)*AZ128</f>
        <v>4194.7518598983061</v>
      </c>
      <c r="ED128" s="48">
        <f>+(BD128-BG128/1.18)*AZ128</f>
        <v>4370.9254647254256</v>
      </c>
      <c r="EE128" s="22">
        <v>2629.38</v>
      </c>
      <c r="EF128" s="22">
        <v>2813.43</v>
      </c>
      <c r="EG128" s="22">
        <f t="shared" si="621"/>
        <v>106.99974899025624</v>
      </c>
      <c r="EH128" s="22">
        <v>1782.6</v>
      </c>
      <c r="EI128" s="22">
        <v>1933.22</v>
      </c>
      <c r="EJ128" s="22">
        <f t="shared" si="622"/>
        <v>108.44945585100416</v>
      </c>
      <c r="EK128" s="40" t="s">
        <v>141</v>
      </c>
      <c r="EL128" s="19">
        <v>8.28416</v>
      </c>
      <c r="EM128" s="19">
        <v>3.9068899999999998</v>
      </c>
      <c r="EN128" s="40">
        <f t="shared" si="641"/>
        <v>6400.7439710169492</v>
      </c>
      <c r="EO128" s="40">
        <f t="shared" si="642"/>
        <v>10991.761532699998</v>
      </c>
      <c r="EP128" s="40"/>
      <c r="EQ128" s="21">
        <f t="shared" si="623"/>
        <v>58.232194648464876</v>
      </c>
      <c r="ER128" s="21"/>
      <c r="ES128" s="21">
        <f t="shared" si="738"/>
        <v>21782.204620799999</v>
      </c>
      <c r="ET128" s="21"/>
      <c r="EU128" s="19">
        <f t="shared" si="624"/>
        <v>23306.904268799997</v>
      </c>
      <c r="EV128" s="21"/>
      <c r="EW128" s="39"/>
      <c r="EX128" s="39">
        <f t="shared" si="625"/>
        <v>21988.926476400004</v>
      </c>
      <c r="EY128" s="39">
        <f t="shared" si="731"/>
        <v>23528.096135399999</v>
      </c>
      <c r="EZ128" s="39"/>
      <c r="FA128" s="39"/>
      <c r="FB128" s="39"/>
      <c r="FC128" s="39"/>
      <c r="FD128" s="39"/>
      <c r="FE128" s="39"/>
      <c r="FF128" s="39"/>
      <c r="FG128" s="39"/>
      <c r="FH128" s="39"/>
      <c r="FI128" s="39"/>
      <c r="FJ128" s="19">
        <f t="shared" si="643"/>
        <v>4370.6457892169492</v>
      </c>
      <c r="FK128" s="19">
        <f t="shared" si="644"/>
        <v>4591.0175616830502</v>
      </c>
      <c r="FL128" s="19">
        <f t="shared" si="626"/>
        <v>8961.6633508999985</v>
      </c>
      <c r="FM128" s="19">
        <v>8.173</v>
      </c>
      <c r="FN128" s="19">
        <v>3.93</v>
      </c>
      <c r="FO128" s="22">
        <v>3013.12</v>
      </c>
      <c r="FP128" s="22">
        <v>3083.47</v>
      </c>
      <c r="FQ128" s="22"/>
      <c r="FR128" s="22">
        <v>2487.62</v>
      </c>
      <c r="FS128" s="22">
        <v>2612</v>
      </c>
      <c r="FT128" s="22"/>
      <c r="FU128" s="137" t="s">
        <v>624</v>
      </c>
      <c r="FV128" s="19"/>
      <c r="FW128" s="19"/>
      <c r="FX128" s="19"/>
      <c r="FY128" s="19"/>
      <c r="FZ128" s="19"/>
      <c r="GA128" s="19"/>
      <c r="GB128" s="19"/>
      <c r="GC128" s="20"/>
      <c r="GD128" s="20"/>
      <c r="GE128" s="21"/>
      <c r="GF128" s="21"/>
      <c r="GG128" s="21"/>
      <c r="GH128" s="21"/>
      <c r="GI128" s="21"/>
      <c r="GJ128" s="21"/>
      <c r="GK128" s="21"/>
      <c r="GL128" s="21"/>
      <c r="GM128" s="19"/>
      <c r="GN128" s="19"/>
      <c r="GO128" s="22">
        <v>3083.47</v>
      </c>
      <c r="GP128" s="22">
        <v>3217.34</v>
      </c>
      <c r="GQ128" s="22"/>
      <c r="GR128" s="22">
        <v>2612</v>
      </c>
      <c r="GS128" s="22">
        <v>2711.26</v>
      </c>
      <c r="GT128" s="22"/>
      <c r="GU128" s="137" t="s">
        <v>624</v>
      </c>
      <c r="GV128" s="19"/>
      <c r="GW128" s="19"/>
      <c r="GX128" s="19"/>
      <c r="GY128" s="19"/>
      <c r="GZ128" s="23"/>
      <c r="HA128" s="22">
        <v>3217.34</v>
      </c>
      <c r="HB128" s="22">
        <v>3305.42</v>
      </c>
      <c r="HC128" s="22"/>
      <c r="HD128" s="22">
        <v>2711.26</v>
      </c>
      <c r="HE128" s="22">
        <v>2819.71</v>
      </c>
      <c r="HF128" s="22"/>
      <c r="HG128" s="235" t="s">
        <v>624</v>
      </c>
    </row>
    <row r="129" spans="2:215" ht="15.75">
      <c r="B129" s="10" t="s">
        <v>281</v>
      </c>
      <c r="C129" s="192" t="s">
        <v>282</v>
      </c>
      <c r="D129" s="76"/>
      <c r="E129" s="76"/>
      <c r="F129" s="74"/>
      <c r="G129" s="74"/>
      <c r="H129" s="74"/>
      <c r="I129" s="76"/>
      <c r="J129" s="76"/>
      <c r="K129" s="76"/>
      <c r="L129" s="76"/>
      <c r="M129" s="76"/>
      <c r="N129" s="74"/>
      <c r="O129" s="74"/>
      <c r="P129" s="74"/>
      <c r="Q129" s="74"/>
      <c r="R129" s="74"/>
      <c r="S129" s="74"/>
      <c r="T129" s="74"/>
      <c r="U129" s="74"/>
      <c r="V129" s="52"/>
      <c r="W129" s="52"/>
      <c r="X129" s="52"/>
      <c r="Y129" s="52"/>
      <c r="Z129" s="22"/>
      <c r="AA129" s="52"/>
      <c r="AB129" s="22"/>
      <c r="AC129" s="52"/>
      <c r="AD129" s="22"/>
      <c r="AE129" s="22"/>
      <c r="AF129" s="22"/>
      <c r="AG129" s="22">
        <f t="shared" si="734"/>
        <v>0</v>
      </c>
      <c r="AH129" s="52"/>
      <c r="AI129" s="52"/>
      <c r="AJ129" s="52"/>
      <c r="AK129" s="52"/>
      <c r="AL129" s="22"/>
      <c r="AM129" s="52"/>
      <c r="AN129" s="22"/>
      <c r="AO129" s="22"/>
      <c r="AP129" s="22"/>
      <c r="AQ129" s="22"/>
      <c r="AR129" s="22"/>
      <c r="AS129" s="22"/>
      <c r="AT129" s="22"/>
      <c r="AU129" s="22">
        <f t="shared" si="735"/>
        <v>0</v>
      </c>
      <c r="AV129" s="77"/>
      <c r="AW129" s="77"/>
      <c r="AX129" s="78"/>
      <c r="AY129" s="22">
        <f t="shared" si="577"/>
        <v>0</v>
      </c>
      <c r="AZ129" s="22"/>
      <c r="BA129" s="22"/>
      <c r="BB129" s="22"/>
      <c r="BC129" s="22"/>
      <c r="BD129" s="22"/>
      <c r="BE129" s="22">
        <f t="shared" si="634"/>
        <v>0</v>
      </c>
      <c r="BF129" s="22"/>
      <c r="BG129" s="22"/>
      <c r="BH129" s="22">
        <f t="shared" si="635"/>
        <v>0</v>
      </c>
      <c r="BI129" s="22"/>
      <c r="BJ129" s="40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19"/>
      <c r="CX129" s="19"/>
      <c r="CY129" s="19"/>
      <c r="CZ129" s="19"/>
      <c r="DA129" s="21"/>
      <c r="DB129" s="21"/>
      <c r="DC129" s="79"/>
      <c r="DD129" s="79"/>
      <c r="DE129" s="79"/>
      <c r="DF129" s="79"/>
      <c r="DG129" s="79"/>
      <c r="DH129" s="51"/>
      <c r="DI129" s="39"/>
      <c r="DJ129" s="80"/>
      <c r="DK129" s="39"/>
      <c r="DL129" s="39"/>
      <c r="DM129" s="48"/>
      <c r="DN129" s="39"/>
      <c r="DO129" s="39"/>
      <c r="DP129" s="39"/>
      <c r="DQ129" s="39"/>
      <c r="DR129" s="39"/>
      <c r="DS129" s="39"/>
      <c r="DT129" s="39"/>
      <c r="DU129" s="19">
        <f t="shared" si="636"/>
        <v>0</v>
      </c>
      <c r="DV129" s="40">
        <f t="shared" si="637"/>
        <v>0</v>
      </c>
      <c r="DW129" s="40">
        <f t="shared" si="638"/>
        <v>0</v>
      </c>
      <c r="DX129" s="46"/>
      <c r="DY129" s="21">
        <f t="shared" si="618"/>
        <v>0</v>
      </c>
      <c r="DZ129" s="19">
        <f t="shared" si="619"/>
        <v>0</v>
      </c>
      <c r="EA129" s="19">
        <f t="shared" si="620"/>
        <v>0</v>
      </c>
      <c r="EB129" s="19"/>
      <c r="EC129" s="48">
        <f t="shared" si="736"/>
        <v>0</v>
      </c>
      <c r="ED129" s="48">
        <f t="shared" si="737"/>
        <v>0</v>
      </c>
      <c r="EE129" s="22"/>
      <c r="EF129" s="22"/>
      <c r="EG129" s="22">
        <f t="shared" si="621"/>
        <v>0</v>
      </c>
      <c r="EH129" s="22"/>
      <c r="EI129" s="22"/>
      <c r="EJ129" s="22">
        <f t="shared" si="622"/>
        <v>0</v>
      </c>
      <c r="EK129" s="40"/>
      <c r="EL129" s="40"/>
      <c r="EM129" s="19"/>
      <c r="EN129" s="40">
        <f t="shared" si="641"/>
        <v>0</v>
      </c>
      <c r="EO129" s="40">
        <f t="shared" si="642"/>
        <v>0</v>
      </c>
      <c r="EP129" s="40"/>
      <c r="EQ129" s="21">
        <f t="shared" si="623"/>
        <v>0</v>
      </c>
      <c r="ER129" s="21"/>
      <c r="ES129" s="21">
        <f t="shared" si="738"/>
        <v>0</v>
      </c>
      <c r="ET129" s="21"/>
      <c r="EU129" s="19">
        <f t="shared" si="624"/>
        <v>0</v>
      </c>
      <c r="EV129" s="21"/>
      <c r="EW129" s="39"/>
      <c r="EX129" s="39">
        <f t="shared" si="625"/>
        <v>0</v>
      </c>
      <c r="EY129" s="39">
        <f t="shared" si="731"/>
        <v>0</v>
      </c>
      <c r="EZ129" s="39"/>
      <c r="FA129" s="39"/>
      <c r="FB129" s="39"/>
      <c r="FC129" s="39"/>
      <c r="FD129" s="39"/>
      <c r="FE129" s="39"/>
      <c r="FF129" s="39"/>
      <c r="FG129" s="39"/>
      <c r="FH129" s="39"/>
      <c r="FI129" s="39"/>
      <c r="FJ129" s="19">
        <f t="shared" si="643"/>
        <v>0</v>
      </c>
      <c r="FK129" s="19">
        <f t="shared" si="644"/>
        <v>0</v>
      </c>
      <c r="FL129" s="19">
        <f t="shared" si="626"/>
        <v>0</v>
      </c>
      <c r="FM129" s="40"/>
      <c r="FN129" s="19"/>
      <c r="FO129" s="22"/>
      <c r="FP129" s="22"/>
      <c r="FQ129" s="22"/>
      <c r="FR129" s="22"/>
      <c r="FS129" s="22"/>
      <c r="FT129" s="22"/>
      <c r="FU129" s="40"/>
      <c r="FV129" s="19"/>
      <c r="FW129" s="19"/>
      <c r="FX129" s="19"/>
      <c r="FY129" s="19"/>
      <c r="FZ129" s="19"/>
      <c r="GA129" s="19"/>
      <c r="GB129" s="19"/>
      <c r="GC129" s="20"/>
      <c r="GD129" s="20"/>
      <c r="GE129" s="21"/>
      <c r="GF129" s="21"/>
      <c r="GG129" s="21"/>
      <c r="GH129" s="21"/>
      <c r="GI129" s="21"/>
      <c r="GJ129" s="21"/>
      <c r="GK129" s="21"/>
      <c r="GL129" s="21"/>
      <c r="GM129" s="40"/>
      <c r="GN129" s="19"/>
      <c r="GO129" s="22"/>
      <c r="GP129" s="22"/>
      <c r="GQ129" s="22"/>
      <c r="GR129" s="22"/>
      <c r="GS129" s="22"/>
      <c r="GT129" s="22"/>
      <c r="GU129" s="43"/>
      <c r="GV129" s="19"/>
      <c r="GW129" s="19"/>
      <c r="GX129" s="19"/>
      <c r="GY129" s="19"/>
      <c r="GZ129" s="19"/>
      <c r="HA129" s="22"/>
      <c r="HB129" s="22"/>
      <c r="HC129" s="22"/>
      <c r="HD129" s="22"/>
      <c r="HE129" s="22"/>
      <c r="HF129" s="22"/>
      <c r="HG129" s="233"/>
    </row>
    <row r="130" spans="2:215" ht="15.75">
      <c r="B130" s="10"/>
      <c r="C130" s="184" t="s">
        <v>142</v>
      </c>
      <c r="D130" s="76"/>
      <c r="E130" s="76"/>
      <c r="F130" s="74"/>
      <c r="G130" s="74"/>
      <c r="H130" s="74"/>
      <c r="I130" s="76"/>
      <c r="J130" s="76"/>
      <c r="K130" s="76"/>
      <c r="L130" s="76"/>
      <c r="M130" s="76"/>
      <c r="N130" s="74"/>
      <c r="O130" s="74"/>
      <c r="P130" s="74"/>
      <c r="Q130" s="74"/>
      <c r="R130" s="74"/>
      <c r="S130" s="74"/>
      <c r="T130" s="74"/>
      <c r="U130" s="74"/>
      <c r="V130" s="52"/>
      <c r="W130" s="52"/>
      <c r="X130" s="52"/>
      <c r="Y130" s="52"/>
      <c r="Z130" s="22"/>
      <c r="AA130" s="52"/>
      <c r="AB130" s="22"/>
      <c r="AC130" s="52"/>
      <c r="AD130" s="22">
        <v>76.48</v>
      </c>
      <c r="AE130" s="22">
        <f t="shared" ref="AE130:AE138" si="745">+IF(AC130=0,,AF130/AC130*100)</f>
        <v>0</v>
      </c>
      <c r="AF130" s="22">
        <v>76.48</v>
      </c>
      <c r="AG130" s="22">
        <f t="shared" si="734"/>
        <v>100</v>
      </c>
      <c r="AH130" s="52"/>
      <c r="AI130" s="52"/>
      <c r="AJ130" s="52"/>
      <c r="AK130" s="52"/>
      <c r="AL130" s="22"/>
      <c r="AM130" s="52"/>
      <c r="AN130" s="22"/>
      <c r="AO130" s="22"/>
      <c r="AP130" s="22"/>
      <c r="AQ130" s="22"/>
      <c r="AR130" s="22">
        <v>42.14</v>
      </c>
      <c r="AS130" s="22">
        <f>+IF(AQ130=0,,AT130/AQ130*100)</f>
        <v>0</v>
      </c>
      <c r="AT130" s="22">
        <v>46.65</v>
      </c>
      <c r="AU130" s="22">
        <f t="shared" si="735"/>
        <v>110.70242050308494</v>
      </c>
      <c r="AV130" s="77"/>
      <c r="AW130" s="77"/>
      <c r="AX130" s="239" t="s">
        <v>283</v>
      </c>
      <c r="AY130" s="22">
        <f t="shared" si="577"/>
        <v>166.2</v>
      </c>
      <c r="AZ130" s="22">
        <f>+[3]БПр!$AC$680/1000</f>
        <v>112.3</v>
      </c>
      <c r="BA130" s="22">
        <f>+[3]БПр!$AB$680/1000</f>
        <v>10.4</v>
      </c>
      <c r="BB130" s="22">
        <f>+[3]БПр!$AD$680/1000</f>
        <v>43.5</v>
      </c>
      <c r="BC130" s="22">
        <v>82.74</v>
      </c>
      <c r="BD130" s="22">
        <v>82.74</v>
      </c>
      <c r="BE130" s="22">
        <f t="shared" si="634"/>
        <v>100</v>
      </c>
      <c r="BF130" s="22">
        <v>46.65</v>
      </c>
      <c r="BG130" s="22">
        <v>48.61</v>
      </c>
      <c r="BH130" s="22">
        <f t="shared" si="635"/>
        <v>104.20150053590569</v>
      </c>
      <c r="BI130" s="22"/>
      <c r="BJ130" s="241" t="s">
        <v>284</v>
      </c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19"/>
      <c r="CX130" s="19"/>
      <c r="CY130" s="19"/>
      <c r="CZ130" s="19"/>
      <c r="DA130" s="21"/>
      <c r="DB130" s="21"/>
      <c r="DC130" s="79"/>
      <c r="DD130" s="79"/>
      <c r="DE130" s="79"/>
      <c r="DF130" s="79"/>
      <c r="DG130" s="79"/>
      <c r="DH130" s="51"/>
      <c r="DI130" s="39"/>
      <c r="DJ130" s="80"/>
      <c r="DK130" s="39"/>
      <c r="DL130" s="39"/>
      <c r="DM130" s="48"/>
      <c r="DN130" s="39"/>
      <c r="DO130" s="39"/>
      <c r="DP130" s="39"/>
      <c r="DQ130" s="39"/>
      <c r="DR130" s="39"/>
      <c r="DS130" s="39"/>
      <c r="DT130" s="39"/>
      <c r="DU130" s="19">
        <f t="shared" si="636"/>
        <v>4439.656779661017</v>
      </c>
      <c r="DV130" s="40">
        <f>+(BG130*AZ130)</f>
        <v>5458.9030000000002</v>
      </c>
      <c r="DW130" s="40">
        <f t="shared" si="638"/>
        <v>9291.7019999999993</v>
      </c>
      <c r="DX130" s="21">
        <f>+'[1]тарифы (НВВ) население на 4,2%'!CO186</f>
        <v>63.23970476267128</v>
      </c>
      <c r="DY130" s="21">
        <f t="shared" si="618"/>
        <v>58.750302151317392</v>
      </c>
      <c r="DZ130" s="19">
        <f t="shared" si="619"/>
        <v>13.751387999999999</v>
      </c>
      <c r="EA130" s="19">
        <f t="shared" si="620"/>
        <v>13.751387999999999</v>
      </c>
      <c r="EB130" s="19"/>
      <c r="EC130" s="48">
        <f>+(BC130-BF130)*AZ130</f>
        <v>4052.9069999999997</v>
      </c>
      <c r="ED130" s="48">
        <f>+(BD130-BG130)*AZ130</f>
        <v>3832.7989999999995</v>
      </c>
      <c r="EE130" s="22">
        <v>82.74</v>
      </c>
      <c r="EF130" s="22">
        <v>87.7</v>
      </c>
      <c r="EG130" s="22">
        <f t="shared" si="621"/>
        <v>105.99468213681413</v>
      </c>
      <c r="EH130" s="22">
        <v>48.61</v>
      </c>
      <c r="EI130" s="22">
        <v>52.71</v>
      </c>
      <c r="EJ130" s="22">
        <f t="shared" si="622"/>
        <v>108.43447850236576</v>
      </c>
      <c r="EK130" s="241" t="s">
        <v>285</v>
      </c>
      <c r="EL130" s="19">
        <v>166.2</v>
      </c>
      <c r="EM130" s="19">
        <v>112.3</v>
      </c>
      <c r="EN130" s="40">
        <f>+(EI130*EM130)</f>
        <v>5919.3329999999996</v>
      </c>
      <c r="EO130" s="40">
        <f t="shared" si="642"/>
        <v>9848.7100000000009</v>
      </c>
      <c r="EP130" s="40"/>
      <c r="EQ130" s="21">
        <f t="shared" si="623"/>
        <v>60.102622576966922</v>
      </c>
      <c r="ER130" s="21"/>
      <c r="ES130" s="21">
        <f t="shared" si="738"/>
        <v>13751.387999999999</v>
      </c>
      <c r="ET130" s="21"/>
      <c r="EU130" s="19">
        <f t="shared" si="624"/>
        <v>14575.74</v>
      </c>
      <c r="EV130" s="21"/>
      <c r="EW130" s="39"/>
      <c r="EX130" s="39">
        <f t="shared" si="625"/>
        <v>13751.387999999999</v>
      </c>
      <c r="EY130" s="39">
        <f t="shared" si="731"/>
        <v>14575.74</v>
      </c>
      <c r="EZ130" s="39"/>
      <c r="FA130" s="39"/>
      <c r="FB130" s="39"/>
      <c r="FC130" s="39"/>
      <c r="FD130" s="39"/>
      <c r="FE130" s="39"/>
      <c r="FF130" s="39"/>
      <c r="FG130" s="39"/>
      <c r="FH130" s="39"/>
      <c r="FI130" s="39"/>
      <c r="FJ130" s="19">
        <f>+(EE130-EH130)*EM130</f>
        <v>3832.7989999999995</v>
      </c>
      <c r="FK130" s="19">
        <f>+(EF130-EI130)*EM130</f>
        <v>3929.377</v>
      </c>
      <c r="FL130" s="19">
        <f t="shared" si="626"/>
        <v>7762.1759999999995</v>
      </c>
      <c r="FM130" s="19">
        <v>138.94</v>
      </c>
      <c r="FN130" s="19">
        <v>109.37</v>
      </c>
      <c r="FO130" s="22">
        <v>98.81</v>
      </c>
      <c r="FP130" s="22">
        <v>100.79</v>
      </c>
      <c r="FQ130" s="22"/>
      <c r="FR130" s="22">
        <v>67.17</v>
      </c>
      <c r="FS130" s="22">
        <v>70.53</v>
      </c>
      <c r="FT130" s="22"/>
      <c r="FU130" s="241" t="s">
        <v>665</v>
      </c>
      <c r="FV130" s="19"/>
      <c r="FW130" s="19"/>
      <c r="FX130" s="19"/>
      <c r="FY130" s="19"/>
      <c r="FZ130" s="19"/>
      <c r="GA130" s="19"/>
      <c r="GB130" s="19"/>
      <c r="GC130" s="20"/>
      <c r="GD130" s="20"/>
      <c r="GE130" s="21"/>
      <c r="GF130" s="21"/>
      <c r="GG130" s="21"/>
      <c r="GH130" s="21"/>
      <c r="GI130" s="21"/>
      <c r="GJ130" s="21"/>
      <c r="GK130" s="21"/>
      <c r="GL130" s="21"/>
      <c r="GM130" s="19"/>
      <c r="GN130" s="19"/>
      <c r="GO130" s="22">
        <v>100.79</v>
      </c>
      <c r="GP130" s="22">
        <v>103.29</v>
      </c>
      <c r="GQ130" s="22"/>
      <c r="GR130" s="22">
        <v>70.53</v>
      </c>
      <c r="GS130" s="22">
        <v>73.349999999999994</v>
      </c>
      <c r="GT130" s="22"/>
      <c r="GU130" s="241" t="s">
        <v>665</v>
      </c>
      <c r="GV130" s="19"/>
      <c r="GW130" s="19"/>
      <c r="GX130" s="19"/>
      <c r="GY130" s="19"/>
      <c r="GZ130" s="23"/>
      <c r="HA130" s="22">
        <v>103.29</v>
      </c>
      <c r="HB130" s="22">
        <v>106</v>
      </c>
      <c r="HC130" s="22"/>
      <c r="HD130" s="22">
        <v>73.349999999999994</v>
      </c>
      <c r="HE130" s="22">
        <v>76.290000000000006</v>
      </c>
      <c r="HF130" s="22"/>
      <c r="HG130" s="241" t="s">
        <v>665</v>
      </c>
    </row>
    <row r="131" spans="2:215" ht="31.5">
      <c r="B131" s="10"/>
      <c r="C131" s="184" t="s">
        <v>286</v>
      </c>
      <c r="D131" s="76"/>
      <c r="E131" s="76"/>
      <c r="F131" s="74"/>
      <c r="G131" s="74"/>
      <c r="H131" s="74"/>
      <c r="I131" s="76"/>
      <c r="J131" s="76"/>
      <c r="K131" s="76"/>
      <c r="L131" s="76"/>
      <c r="M131" s="76"/>
      <c r="N131" s="74"/>
      <c r="O131" s="74"/>
      <c r="P131" s="74"/>
      <c r="Q131" s="74"/>
      <c r="R131" s="74"/>
      <c r="S131" s="74"/>
      <c r="T131" s="74"/>
      <c r="U131" s="74"/>
      <c r="V131" s="52"/>
      <c r="W131" s="52"/>
      <c r="X131" s="52"/>
      <c r="Y131" s="52"/>
      <c r="Z131" s="22"/>
      <c r="AA131" s="52"/>
      <c r="AB131" s="22"/>
      <c r="AC131" s="52"/>
      <c r="AD131" s="22">
        <v>194.16</v>
      </c>
      <c r="AE131" s="22">
        <f t="shared" si="745"/>
        <v>0</v>
      </c>
      <c r="AF131" s="22">
        <v>194.16</v>
      </c>
      <c r="AG131" s="22">
        <f t="shared" si="734"/>
        <v>100</v>
      </c>
      <c r="AH131" s="52"/>
      <c r="AI131" s="52"/>
      <c r="AJ131" s="52"/>
      <c r="AK131" s="52"/>
      <c r="AL131" s="22"/>
      <c r="AM131" s="52"/>
      <c r="AN131" s="22"/>
      <c r="AO131" s="22"/>
      <c r="AP131" s="22"/>
      <c r="AQ131" s="22"/>
      <c r="AR131" s="22">
        <v>62.27</v>
      </c>
      <c r="AS131" s="22">
        <f>+IF(AQ131=0,,AT131/AQ131*100)</f>
        <v>0</v>
      </c>
      <c r="AT131" s="22">
        <v>68.928933397220902</v>
      </c>
      <c r="AU131" s="22">
        <f t="shared" si="735"/>
        <v>110.69364605302859</v>
      </c>
      <c r="AV131" s="77"/>
      <c r="AW131" s="77"/>
      <c r="AX131" s="239"/>
      <c r="AY131" s="22">
        <f t="shared" si="577"/>
        <v>5.8449999999999998</v>
      </c>
      <c r="AZ131" s="22">
        <f>+[4]БПр!$O$762/1000</f>
        <v>5.8449999999999998</v>
      </c>
      <c r="BA131" s="22"/>
      <c r="BB131" s="22"/>
      <c r="BC131" s="22">
        <v>204.39</v>
      </c>
      <c r="BD131" s="22">
        <v>204.39</v>
      </c>
      <c r="BE131" s="22">
        <f t="shared" si="634"/>
        <v>100</v>
      </c>
      <c r="BF131" s="22">
        <v>68.930000000000007</v>
      </c>
      <c r="BG131" s="22">
        <v>71.83</v>
      </c>
      <c r="BH131" s="22">
        <f t="shared" si="635"/>
        <v>104.20716669084578</v>
      </c>
      <c r="BI131" s="22"/>
      <c r="BJ131" s="241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19"/>
      <c r="CX131" s="19"/>
      <c r="CY131" s="19"/>
      <c r="CZ131" s="19"/>
      <c r="DA131" s="21"/>
      <c r="DB131" s="21"/>
      <c r="DC131" s="79"/>
      <c r="DD131" s="79"/>
      <c r="DE131" s="79"/>
      <c r="DF131" s="79"/>
      <c r="DG131" s="79"/>
      <c r="DH131" s="51"/>
      <c r="DI131" s="39"/>
      <c r="DJ131" s="80"/>
      <c r="DK131" s="39"/>
      <c r="DL131" s="39"/>
      <c r="DM131" s="48"/>
      <c r="DN131" s="39"/>
      <c r="DO131" s="39"/>
      <c r="DP131" s="39"/>
      <c r="DQ131" s="39"/>
      <c r="DR131" s="39"/>
      <c r="DS131" s="39"/>
      <c r="DT131" s="39"/>
      <c r="DU131" s="19">
        <f t="shared" si="636"/>
        <v>341.43716101694918</v>
      </c>
      <c r="DV131" s="40">
        <f t="shared" si="637"/>
        <v>355.80199152542372</v>
      </c>
      <c r="DW131" s="40">
        <f t="shared" si="638"/>
        <v>1194.6595499999999</v>
      </c>
      <c r="DX131" s="21">
        <f>+'[1]тарифы (НВВ) население на 4,2%'!CO187</f>
        <v>30.254293415199641</v>
      </c>
      <c r="DY131" s="21">
        <f t="shared" si="618"/>
        <v>29.782710189310734</v>
      </c>
      <c r="DZ131" s="19">
        <f t="shared" si="619"/>
        <v>1.1946595499999999</v>
      </c>
      <c r="EA131" s="19">
        <f t="shared" si="620"/>
        <v>1.1946595499999999</v>
      </c>
      <c r="EB131" s="19"/>
      <c r="EC131" s="48">
        <f>+(BC131-BF131)*AZ131</f>
        <v>791.76369999999986</v>
      </c>
      <c r="ED131" s="48">
        <f>+(BD131-BG131)*AZ131</f>
        <v>774.81319999999994</v>
      </c>
      <c r="EE131" s="22">
        <v>204.39</v>
      </c>
      <c r="EF131" s="22">
        <v>216.33</v>
      </c>
      <c r="EG131" s="22">
        <f t="shared" si="621"/>
        <v>105.84177308087482</v>
      </c>
      <c r="EH131" s="22">
        <v>71.83</v>
      </c>
      <c r="EI131" s="22">
        <v>77.89</v>
      </c>
      <c r="EJ131" s="22">
        <f t="shared" si="622"/>
        <v>108.436586384519</v>
      </c>
      <c r="EK131" s="241"/>
      <c r="EL131" s="19">
        <v>5.8449999999999998</v>
      </c>
      <c r="EM131" s="19">
        <v>5.8449999999999998</v>
      </c>
      <c r="EN131" s="40">
        <f>+(EI131*EM131)</f>
        <v>455.26704999999998</v>
      </c>
      <c r="EO131" s="40">
        <f t="shared" si="642"/>
        <v>1264.44885</v>
      </c>
      <c r="EP131" s="40"/>
      <c r="EQ131" s="21">
        <f t="shared" si="623"/>
        <v>36.005177275458792</v>
      </c>
      <c r="ER131" s="21"/>
      <c r="ES131" s="21">
        <f t="shared" si="738"/>
        <v>1194.6595499999999</v>
      </c>
      <c r="ET131" s="21"/>
      <c r="EU131" s="19">
        <f t="shared" si="624"/>
        <v>1264.44885</v>
      </c>
      <c r="EV131" s="21"/>
      <c r="EW131" s="39"/>
      <c r="EX131" s="39">
        <f t="shared" si="625"/>
        <v>1194.6595499999999</v>
      </c>
      <c r="EY131" s="39">
        <f t="shared" si="731"/>
        <v>1264.44885</v>
      </c>
      <c r="EZ131" s="39"/>
      <c r="FA131" s="39"/>
      <c r="FB131" s="39"/>
      <c r="FC131" s="39"/>
      <c r="FD131" s="39"/>
      <c r="FE131" s="39"/>
      <c r="FF131" s="39"/>
      <c r="FG131" s="39"/>
      <c r="FH131" s="39"/>
      <c r="FI131" s="39"/>
      <c r="FJ131" s="19">
        <f>+(EE131-EH131)*EM131</f>
        <v>774.81319999999994</v>
      </c>
      <c r="FK131" s="19">
        <f>+(EF131-EI131)*EM131</f>
        <v>809.18179999999995</v>
      </c>
      <c r="FL131" s="19">
        <f t="shared" si="626"/>
        <v>1583.9949999999999</v>
      </c>
      <c r="FM131" s="19">
        <v>4.8600000000000003</v>
      </c>
      <c r="FN131" s="19">
        <v>4.8600000000000003</v>
      </c>
      <c r="FO131" s="22">
        <v>233.14</v>
      </c>
      <c r="FP131" s="22">
        <v>237.82</v>
      </c>
      <c r="FQ131" s="22"/>
      <c r="FR131" s="22">
        <v>99.26</v>
      </c>
      <c r="FS131" s="22">
        <v>104.53</v>
      </c>
      <c r="FT131" s="22"/>
      <c r="FU131" s="241"/>
      <c r="FV131" s="19"/>
      <c r="FW131" s="19"/>
      <c r="FX131" s="19"/>
      <c r="FY131" s="19"/>
      <c r="FZ131" s="19"/>
      <c r="GA131" s="19"/>
      <c r="GB131" s="19"/>
      <c r="GC131" s="20"/>
      <c r="GD131" s="20"/>
      <c r="GE131" s="21"/>
      <c r="GF131" s="21"/>
      <c r="GG131" s="21"/>
      <c r="GH131" s="21"/>
      <c r="GI131" s="21"/>
      <c r="GJ131" s="21"/>
      <c r="GK131" s="21"/>
      <c r="GL131" s="21"/>
      <c r="GM131" s="19"/>
      <c r="GN131" s="19"/>
      <c r="GO131" s="22">
        <v>237.82</v>
      </c>
      <c r="GP131" s="22">
        <v>243.65</v>
      </c>
      <c r="GQ131" s="22"/>
      <c r="GR131" s="22">
        <v>104.53</v>
      </c>
      <c r="GS131" s="22">
        <v>108.71</v>
      </c>
      <c r="GT131" s="22"/>
      <c r="GU131" s="241"/>
      <c r="GV131" s="19"/>
      <c r="GW131" s="19"/>
      <c r="GX131" s="19"/>
      <c r="GY131" s="19"/>
      <c r="GZ131" s="23"/>
      <c r="HA131" s="22">
        <v>243.65</v>
      </c>
      <c r="HB131" s="22">
        <v>250.07</v>
      </c>
      <c r="HC131" s="22"/>
      <c r="HD131" s="22">
        <v>108.71</v>
      </c>
      <c r="HE131" s="22">
        <v>113.06</v>
      </c>
      <c r="HF131" s="22"/>
      <c r="HG131" s="241"/>
    </row>
    <row r="132" spans="2:215" ht="15.75">
      <c r="B132" s="10"/>
      <c r="C132" s="184" t="s">
        <v>287</v>
      </c>
      <c r="D132" s="76"/>
      <c r="E132" s="76"/>
      <c r="F132" s="74"/>
      <c r="G132" s="74"/>
      <c r="H132" s="74"/>
      <c r="I132" s="76"/>
      <c r="J132" s="76"/>
      <c r="K132" s="76"/>
      <c r="L132" s="76"/>
      <c r="M132" s="76"/>
      <c r="N132" s="74"/>
      <c r="O132" s="74"/>
      <c r="P132" s="74"/>
      <c r="Q132" s="74"/>
      <c r="R132" s="74"/>
      <c r="S132" s="74"/>
      <c r="T132" s="74"/>
      <c r="U132" s="74"/>
      <c r="V132" s="52"/>
      <c r="W132" s="52"/>
      <c r="X132" s="52"/>
      <c r="Y132" s="52"/>
      <c r="Z132" s="22"/>
      <c r="AA132" s="52"/>
      <c r="AB132" s="22"/>
      <c r="AC132" s="52"/>
      <c r="AD132" s="22">
        <v>84.09</v>
      </c>
      <c r="AE132" s="22">
        <f t="shared" si="745"/>
        <v>0</v>
      </c>
      <c r="AF132" s="22">
        <v>84.09</v>
      </c>
      <c r="AG132" s="22">
        <f t="shared" si="734"/>
        <v>100</v>
      </c>
      <c r="AH132" s="52"/>
      <c r="AI132" s="52"/>
      <c r="AJ132" s="52"/>
      <c r="AK132" s="52"/>
      <c r="AL132" s="22"/>
      <c r="AM132" s="52"/>
      <c r="AN132" s="22"/>
      <c r="AO132" s="22"/>
      <c r="AP132" s="22"/>
      <c r="AQ132" s="22"/>
      <c r="AR132" s="22">
        <v>23.85</v>
      </c>
      <c r="AS132" s="22"/>
      <c r="AT132" s="22">
        <v>26.4</v>
      </c>
      <c r="AU132" s="22">
        <f t="shared" si="735"/>
        <v>110.69182389937107</v>
      </c>
      <c r="AV132" s="77"/>
      <c r="AW132" s="77"/>
      <c r="AX132" s="239"/>
      <c r="AY132" s="22">
        <f t="shared" si="577"/>
        <v>19.501000000000001</v>
      </c>
      <c r="AZ132" s="22">
        <f>+[4]БПр!$O$790/1000</f>
        <v>18.16</v>
      </c>
      <c r="BA132" s="22">
        <f>+[4]БПр!$N$790/1000</f>
        <v>0.87499999999999989</v>
      </c>
      <c r="BB132" s="22">
        <f>+[4]БПр!$L$790/1000</f>
        <v>0.46599999999999986</v>
      </c>
      <c r="BC132" s="22">
        <v>87.17</v>
      </c>
      <c r="BD132" s="22">
        <v>87.17</v>
      </c>
      <c r="BE132" s="22">
        <f t="shared" si="634"/>
        <v>100</v>
      </c>
      <c r="BF132" s="22">
        <v>26.4</v>
      </c>
      <c r="BG132" s="22">
        <v>27.51</v>
      </c>
      <c r="BH132" s="22">
        <f t="shared" si="635"/>
        <v>104.20454545454547</v>
      </c>
      <c r="BI132" s="22"/>
      <c r="BJ132" s="241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19"/>
      <c r="CX132" s="19"/>
      <c r="CY132" s="19"/>
      <c r="CZ132" s="19"/>
      <c r="DA132" s="21"/>
      <c r="DB132" s="21"/>
      <c r="DC132" s="79"/>
      <c r="DD132" s="79"/>
      <c r="DE132" s="79"/>
      <c r="DF132" s="79"/>
      <c r="DG132" s="79"/>
      <c r="DH132" s="51"/>
      <c r="DI132" s="39"/>
      <c r="DJ132" s="80"/>
      <c r="DK132" s="39"/>
      <c r="DL132" s="39"/>
      <c r="DM132" s="48"/>
      <c r="DN132" s="39"/>
      <c r="DO132" s="39"/>
      <c r="DP132" s="39"/>
      <c r="DQ132" s="39"/>
      <c r="DR132" s="39"/>
      <c r="DS132" s="39"/>
      <c r="DT132" s="39"/>
      <c r="DU132" s="19">
        <f t="shared" si="636"/>
        <v>406.29152542372884</v>
      </c>
      <c r="DV132" s="40">
        <f t="shared" si="637"/>
        <v>423.37423728813565</v>
      </c>
      <c r="DW132" s="40">
        <f t="shared" si="638"/>
        <v>1583.0072</v>
      </c>
      <c r="DX132" s="21">
        <f>+'[1]тарифы (НВВ) население на 4,2%'!CO188</f>
        <v>27.992339290548792</v>
      </c>
      <c r="DY132" s="21">
        <f t="shared" si="618"/>
        <v>26.744934406371346</v>
      </c>
      <c r="DZ132" s="19">
        <f t="shared" si="619"/>
        <v>1.6999021700000001</v>
      </c>
      <c r="EA132" s="19">
        <f t="shared" si="620"/>
        <v>1.6999021700000001</v>
      </c>
      <c r="EB132" s="19"/>
      <c r="EC132" s="48">
        <f>+(BC132-BF132)*AZ132</f>
        <v>1103.5832</v>
      </c>
      <c r="ED132" s="48">
        <f>+(BD132-BG132)*AZ132</f>
        <v>1083.4256</v>
      </c>
      <c r="EE132" s="22">
        <v>87.17</v>
      </c>
      <c r="EF132" s="22">
        <v>92.4</v>
      </c>
      <c r="EG132" s="22">
        <f t="shared" si="621"/>
        <v>105.99977056326719</v>
      </c>
      <c r="EH132" s="22">
        <v>27.51</v>
      </c>
      <c r="EI132" s="22">
        <v>29.83</v>
      </c>
      <c r="EJ132" s="22">
        <f t="shared" si="622"/>
        <v>108.43329698291528</v>
      </c>
      <c r="EK132" s="241"/>
      <c r="EL132" s="19">
        <v>19.501000000000001</v>
      </c>
      <c r="EM132" s="19">
        <v>18.16</v>
      </c>
      <c r="EN132" s="40">
        <f>+(EI132*EM132)</f>
        <v>541.71280000000002</v>
      </c>
      <c r="EO132" s="40">
        <f t="shared" si="642"/>
        <v>1677.9840000000002</v>
      </c>
      <c r="EP132" s="40"/>
      <c r="EQ132" s="21">
        <f t="shared" si="623"/>
        <v>32.28354978354978</v>
      </c>
      <c r="ER132" s="21"/>
      <c r="ES132" s="21">
        <f t="shared" si="738"/>
        <v>1699.9021700000001</v>
      </c>
      <c r="ET132" s="21"/>
      <c r="EU132" s="19">
        <f t="shared" si="624"/>
        <v>1801.8924000000002</v>
      </c>
      <c r="EV132" s="21"/>
      <c r="EW132" s="39"/>
      <c r="EX132" s="39">
        <f t="shared" si="625"/>
        <v>1699.9021700000001</v>
      </c>
      <c r="EY132" s="39">
        <f t="shared" si="731"/>
        <v>1801.8924000000002</v>
      </c>
      <c r="EZ132" s="39"/>
      <c r="FA132" s="39"/>
      <c r="FB132" s="39"/>
      <c r="FC132" s="39"/>
      <c r="FD132" s="39"/>
      <c r="FE132" s="39"/>
      <c r="FF132" s="39"/>
      <c r="FG132" s="39"/>
      <c r="FH132" s="39"/>
      <c r="FI132" s="39"/>
      <c r="FJ132" s="19">
        <f>+(EE132-EH132)*EM132</f>
        <v>1083.4256</v>
      </c>
      <c r="FK132" s="19">
        <f>+(EF132-EI132)*EM132</f>
        <v>1136.2712000000001</v>
      </c>
      <c r="FL132" s="19">
        <f t="shared" si="626"/>
        <v>2219.6968000000002</v>
      </c>
      <c r="FM132" s="19">
        <f>16.5-FM133</f>
        <v>15.972</v>
      </c>
      <c r="FN132" s="19">
        <f>15.77-0.53</f>
        <v>15.24</v>
      </c>
      <c r="FO132" s="22">
        <v>99.63</v>
      </c>
      <c r="FP132" s="22">
        <v>101.63</v>
      </c>
      <c r="FQ132" s="22"/>
      <c r="FR132" s="22">
        <v>38.01</v>
      </c>
      <c r="FS132" s="22">
        <v>39.909999999999997</v>
      </c>
      <c r="FT132" s="22"/>
      <c r="FU132" s="241"/>
      <c r="FV132" s="19"/>
      <c r="FW132" s="19"/>
      <c r="FX132" s="19"/>
      <c r="FY132" s="19"/>
      <c r="FZ132" s="19"/>
      <c r="GA132" s="19"/>
      <c r="GB132" s="19"/>
      <c r="GC132" s="20"/>
      <c r="GD132" s="20"/>
      <c r="GE132" s="21"/>
      <c r="GF132" s="21"/>
      <c r="GG132" s="21"/>
      <c r="GH132" s="21"/>
      <c r="GI132" s="21"/>
      <c r="GJ132" s="21"/>
      <c r="GK132" s="21"/>
      <c r="GL132" s="21"/>
      <c r="GM132" s="19"/>
      <c r="GN132" s="19"/>
      <c r="GO132" s="22">
        <v>101.63</v>
      </c>
      <c r="GP132" s="22">
        <v>104.07</v>
      </c>
      <c r="GQ132" s="22"/>
      <c r="GR132" s="22">
        <v>39.909999999999997</v>
      </c>
      <c r="GS132" s="22">
        <v>41.51</v>
      </c>
      <c r="GT132" s="22"/>
      <c r="GU132" s="241"/>
      <c r="GV132" s="19"/>
      <c r="GW132" s="19"/>
      <c r="GX132" s="19"/>
      <c r="GY132" s="19"/>
      <c r="GZ132" s="23"/>
      <c r="HA132" s="22">
        <v>104.07</v>
      </c>
      <c r="HB132" s="22">
        <v>106.78</v>
      </c>
      <c r="HC132" s="22"/>
      <c r="HD132" s="22">
        <v>41.51</v>
      </c>
      <c r="HE132" s="22">
        <v>43.17</v>
      </c>
      <c r="HF132" s="22"/>
      <c r="HG132" s="241"/>
    </row>
    <row r="133" spans="2:215" ht="15.75">
      <c r="B133" s="10"/>
      <c r="C133" s="184" t="s">
        <v>288</v>
      </c>
      <c r="D133" s="76"/>
      <c r="E133" s="76"/>
      <c r="F133" s="74"/>
      <c r="G133" s="74"/>
      <c r="H133" s="74"/>
      <c r="I133" s="76"/>
      <c r="J133" s="76"/>
      <c r="K133" s="76"/>
      <c r="L133" s="76"/>
      <c r="M133" s="76"/>
      <c r="N133" s="74"/>
      <c r="O133" s="74"/>
      <c r="P133" s="74"/>
      <c r="Q133" s="74"/>
      <c r="R133" s="74"/>
      <c r="S133" s="74"/>
      <c r="T133" s="74"/>
      <c r="U133" s="74"/>
      <c r="V133" s="52"/>
      <c r="W133" s="52"/>
      <c r="X133" s="52"/>
      <c r="Y133" s="52"/>
      <c r="Z133" s="22"/>
      <c r="AA133" s="52"/>
      <c r="AB133" s="22"/>
      <c r="AC133" s="52"/>
      <c r="AD133" s="22">
        <v>84.09</v>
      </c>
      <c r="AE133" s="22">
        <f t="shared" si="745"/>
        <v>0</v>
      </c>
      <c r="AF133" s="22">
        <v>84.09</v>
      </c>
      <c r="AG133" s="22">
        <f t="shared" si="734"/>
        <v>100</v>
      </c>
      <c r="AH133" s="52"/>
      <c r="AI133" s="52"/>
      <c r="AJ133" s="52"/>
      <c r="AK133" s="52"/>
      <c r="AL133" s="22"/>
      <c r="AM133" s="52"/>
      <c r="AN133" s="22"/>
      <c r="AO133" s="22"/>
      <c r="AP133" s="22"/>
      <c r="AQ133" s="22"/>
      <c r="AR133" s="22">
        <v>76.5</v>
      </c>
      <c r="AS133" s="22"/>
      <c r="AT133" s="22">
        <v>84.68</v>
      </c>
      <c r="AU133" s="22">
        <f t="shared" si="735"/>
        <v>110.69281045751636</v>
      </c>
      <c r="AV133" s="77"/>
      <c r="AW133" s="77"/>
      <c r="AX133" s="239"/>
      <c r="AY133" s="22">
        <f t="shared" si="577"/>
        <v>0</v>
      </c>
      <c r="AZ133" s="22"/>
      <c r="BA133" s="22"/>
      <c r="BB133" s="22"/>
      <c r="BC133" s="22">
        <v>87.17</v>
      </c>
      <c r="BD133" s="22">
        <v>87.17</v>
      </c>
      <c r="BE133" s="22">
        <f t="shared" si="634"/>
        <v>100</v>
      </c>
      <c r="BF133" s="22">
        <v>84.68</v>
      </c>
      <c r="BG133" s="22">
        <f>+BD133</f>
        <v>87.17</v>
      </c>
      <c r="BH133" s="22">
        <f t="shared" si="635"/>
        <v>102.94048181388757</v>
      </c>
      <c r="BI133" s="22"/>
      <c r="BJ133" s="241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19"/>
      <c r="CX133" s="19"/>
      <c r="CY133" s="19"/>
      <c r="CZ133" s="19"/>
      <c r="DA133" s="21"/>
      <c r="DB133" s="21"/>
      <c r="DC133" s="79"/>
      <c r="DD133" s="79"/>
      <c r="DE133" s="79"/>
      <c r="DF133" s="79"/>
      <c r="DG133" s="79"/>
      <c r="DH133" s="51"/>
      <c r="DI133" s="39"/>
      <c r="DJ133" s="80"/>
      <c r="DK133" s="39"/>
      <c r="DL133" s="39"/>
      <c r="DM133" s="48"/>
      <c r="DN133" s="39"/>
      <c r="DO133" s="39"/>
      <c r="DP133" s="39"/>
      <c r="DQ133" s="39"/>
      <c r="DR133" s="39"/>
      <c r="DS133" s="39"/>
      <c r="DT133" s="39"/>
      <c r="DU133" s="19">
        <f t="shared" si="636"/>
        <v>0</v>
      </c>
      <c r="DV133" s="40">
        <f t="shared" si="637"/>
        <v>0</v>
      </c>
      <c r="DW133" s="40">
        <f t="shared" si="638"/>
        <v>0</v>
      </c>
      <c r="DX133" s="21">
        <f>+'[1]тарифы (НВВ) население на 4,2%'!CO190</f>
        <v>89.787169091555285</v>
      </c>
      <c r="DY133" s="21">
        <f t="shared" si="618"/>
        <v>0</v>
      </c>
      <c r="DZ133" s="19">
        <f t="shared" si="619"/>
        <v>0</v>
      </c>
      <c r="EA133" s="19">
        <f t="shared" si="620"/>
        <v>0</v>
      </c>
      <c r="EB133" s="19"/>
      <c r="EC133" s="48">
        <f t="shared" si="736"/>
        <v>0</v>
      </c>
      <c r="ED133" s="48">
        <f t="shared" si="737"/>
        <v>0</v>
      </c>
      <c r="EE133" s="22">
        <v>87.17</v>
      </c>
      <c r="EF133" s="22">
        <v>92.4</v>
      </c>
      <c r="EG133" s="22">
        <f t="shared" si="621"/>
        <v>105.99977056326719</v>
      </c>
      <c r="EH133" s="22">
        <v>87.17</v>
      </c>
      <c r="EI133" s="22">
        <v>92.4</v>
      </c>
      <c r="EJ133" s="22">
        <f t="shared" si="622"/>
        <v>105.99977056326719</v>
      </c>
      <c r="EK133" s="241"/>
      <c r="EL133" s="19"/>
      <c r="EM133" s="19"/>
      <c r="EN133" s="40">
        <f t="shared" si="641"/>
        <v>0</v>
      </c>
      <c r="EO133" s="40">
        <f t="shared" si="642"/>
        <v>0</v>
      </c>
      <c r="EP133" s="40"/>
      <c r="EQ133" s="21">
        <f t="shared" si="623"/>
        <v>0</v>
      </c>
      <c r="ER133" s="21"/>
      <c r="ES133" s="21">
        <f t="shared" si="738"/>
        <v>0</v>
      </c>
      <c r="ET133" s="21"/>
      <c r="EU133" s="19">
        <f t="shared" si="624"/>
        <v>0</v>
      </c>
      <c r="EV133" s="21"/>
      <c r="EW133" s="39"/>
      <c r="EX133" s="39">
        <f t="shared" si="625"/>
        <v>0</v>
      </c>
      <c r="EY133" s="39">
        <f t="shared" si="731"/>
        <v>0</v>
      </c>
      <c r="EZ133" s="39"/>
      <c r="FA133" s="39"/>
      <c r="FB133" s="39"/>
      <c r="FC133" s="39"/>
      <c r="FD133" s="39"/>
      <c r="FE133" s="39"/>
      <c r="FF133" s="39"/>
      <c r="FG133" s="39"/>
      <c r="FH133" s="39"/>
      <c r="FI133" s="39"/>
      <c r="FJ133" s="19">
        <f t="shared" si="643"/>
        <v>0</v>
      </c>
      <c r="FK133" s="19">
        <f t="shared" si="644"/>
        <v>0</v>
      </c>
      <c r="FL133" s="19">
        <f t="shared" si="626"/>
        <v>0</v>
      </c>
      <c r="FM133" s="19">
        <v>0.52800000000000002</v>
      </c>
      <c r="FN133" s="19">
        <v>0.52800000000000002</v>
      </c>
      <c r="FO133" s="22">
        <v>99.63</v>
      </c>
      <c r="FP133" s="22">
        <v>101.63</v>
      </c>
      <c r="FQ133" s="22"/>
      <c r="FR133" s="22">
        <v>99.63</v>
      </c>
      <c r="FS133" s="22">
        <v>101.63</v>
      </c>
      <c r="FT133" s="22"/>
      <c r="FU133" s="241"/>
      <c r="FV133" s="19"/>
      <c r="FW133" s="19"/>
      <c r="FX133" s="19"/>
      <c r="FY133" s="19"/>
      <c r="FZ133" s="19"/>
      <c r="GA133" s="19"/>
      <c r="GB133" s="19"/>
      <c r="GC133" s="20"/>
      <c r="GD133" s="20"/>
      <c r="GE133" s="21"/>
      <c r="GF133" s="21"/>
      <c r="GG133" s="21"/>
      <c r="GH133" s="21"/>
      <c r="GI133" s="21"/>
      <c r="GJ133" s="21"/>
      <c r="GK133" s="21"/>
      <c r="GL133" s="21"/>
      <c r="GM133" s="19"/>
      <c r="GN133" s="19"/>
      <c r="GO133" s="22">
        <v>101.63</v>
      </c>
      <c r="GP133" s="22">
        <v>104.07</v>
      </c>
      <c r="GQ133" s="22"/>
      <c r="GR133" s="22">
        <v>101.63</v>
      </c>
      <c r="GS133" s="22">
        <v>104.07</v>
      </c>
      <c r="GT133" s="22"/>
      <c r="GU133" s="241"/>
      <c r="GV133" s="19"/>
      <c r="GW133" s="19"/>
      <c r="GX133" s="19"/>
      <c r="GY133" s="19"/>
      <c r="GZ133" s="19"/>
      <c r="HA133" s="22">
        <v>104.07</v>
      </c>
      <c r="HB133" s="22">
        <v>106.78</v>
      </c>
      <c r="HC133" s="22"/>
      <c r="HD133" s="22">
        <v>104.07</v>
      </c>
      <c r="HE133" s="22">
        <v>106.78</v>
      </c>
      <c r="HF133" s="22"/>
      <c r="HG133" s="241"/>
    </row>
    <row r="134" spans="2:215" ht="15.75">
      <c r="B134" s="10" t="s">
        <v>289</v>
      </c>
      <c r="C134" s="81" t="s">
        <v>607</v>
      </c>
      <c r="D134" s="82"/>
      <c r="E134" s="73"/>
      <c r="F134" s="74"/>
      <c r="G134" s="74"/>
      <c r="H134" s="74"/>
      <c r="I134" s="75"/>
      <c r="J134" s="73"/>
      <c r="K134" s="73"/>
      <c r="L134" s="75"/>
      <c r="M134" s="82"/>
      <c r="N134" s="75"/>
      <c r="O134" s="74"/>
      <c r="P134" s="74"/>
      <c r="Q134" s="74"/>
      <c r="R134" s="75"/>
      <c r="S134" s="74"/>
      <c r="T134" s="74"/>
      <c r="U134" s="74"/>
      <c r="V134" s="52"/>
      <c r="W134" s="52"/>
      <c r="X134" s="52"/>
      <c r="Y134" s="52"/>
      <c r="Z134" s="22"/>
      <c r="AA134" s="52"/>
      <c r="AB134" s="22"/>
      <c r="AC134" s="52"/>
      <c r="AD134" s="52"/>
      <c r="AE134" s="22"/>
      <c r="AF134" s="52"/>
      <c r="AG134" s="22"/>
      <c r="AH134" s="52"/>
      <c r="AI134" s="52"/>
      <c r="AJ134" s="52"/>
      <c r="AK134" s="52"/>
      <c r="AL134" s="22"/>
      <c r="AM134" s="52"/>
      <c r="AN134" s="22"/>
      <c r="AO134" s="22"/>
      <c r="AP134" s="22"/>
      <c r="AQ134" s="52"/>
      <c r="AR134" s="52"/>
      <c r="AS134" s="22"/>
      <c r="AT134" s="22"/>
      <c r="AU134" s="22"/>
      <c r="AV134" s="77"/>
      <c r="AW134" s="77"/>
      <c r="AX134" s="78"/>
      <c r="AY134" s="22"/>
      <c r="AZ134" s="22"/>
      <c r="BA134" s="22"/>
      <c r="BB134" s="22"/>
      <c r="BC134" s="52"/>
      <c r="BD134" s="52"/>
      <c r="BE134" s="22"/>
      <c r="BF134" s="52"/>
      <c r="BG134" s="52"/>
      <c r="BH134" s="22"/>
      <c r="BI134" s="22"/>
      <c r="BJ134" s="40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19"/>
      <c r="CX134" s="19"/>
      <c r="CY134" s="19"/>
      <c r="CZ134" s="19"/>
      <c r="DA134" s="21"/>
      <c r="DB134" s="21"/>
      <c r="DC134" s="79"/>
      <c r="DD134" s="79"/>
      <c r="DE134" s="79"/>
      <c r="DF134" s="79"/>
      <c r="DG134" s="79"/>
      <c r="DH134" s="51"/>
      <c r="DI134" s="39"/>
      <c r="DJ134" s="80"/>
      <c r="DK134" s="39"/>
      <c r="DL134" s="39"/>
      <c r="DM134" s="48"/>
      <c r="DN134" s="39"/>
      <c r="DO134" s="39"/>
      <c r="DP134" s="39"/>
      <c r="DQ134" s="39"/>
      <c r="DR134" s="39"/>
      <c r="DS134" s="39"/>
      <c r="DT134" s="39"/>
      <c r="DU134" s="19"/>
      <c r="DV134" s="40"/>
      <c r="DW134" s="40"/>
      <c r="DX134" s="21"/>
      <c r="DY134" s="21"/>
      <c r="DZ134" s="19"/>
      <c r="EA134" s="19"/>
      <c r="EB134" s="19"/>
      <c r="EC134" s="48"/>
      <c r="ED134" s="48"/>
      <c r="EE134" s="52"/>
      <c r="EF134" s="52"/>
      <c r="EG134" s="22"/>
      <c r="EH134" s="52"/>
      <c r="EI134" s="52"/>
      <c r="EJ134" s="22"/>
      <c r="EK134" s="40"/>
      <c r="EL134" s="19"/>
      <c r="EM134" s="19"/>
      <c r="EN134" s="40"/>
      <c r="EO134" s="40"/>
      <c r="EP134" s="40"/>
      <c r="EQ134" s="21"/>
      <c r="ER134" s="21"/>
      <c r="ES134" s="19"/>
      <c r="ET134" s="19"/>
      <c r="EU134" s="19"/>
      <c r="EV134" s="21"/>
      <c r="EW134" s="39"/>
      <c r="EX134" s="39"/>
      <c r="EY134" s="39"/>
      <c r="EZ134" s="39"/>
      <c r="FA134" s="39"/>
      <c r="FB134" s="39"/>
      <c r="FC134" s="39"/>
      <c r="FD134" s="39"/>
      <c r="FE134" s="39"/>
      <c r="FF134" s="39"/>
      <c r="FG134" s="39"/>
      <c r="FH134" s="39"/>
      <c r="FI134" s="39"/>
      <c r="FJ134" s="19"/>
      <c r="FK134" s="19"/>
      <c r="FL134" s="19"/>
      <c r="FM134" s="19"/>
      <c r="FN134" s="19"/>
      <c r="FO134" s="52"/>
      <c r="FP134" s="52"/>
      <c r="FQ134" s="22"/>
      <c r="FR134" s="52"/>
      <c r="FS134" s="22"/>
      <c r="FT134" s="22"/>
      <c r="FU134" s="40"/>
      <c r="FV134" s="19"/>
      <c r="FW134" s="19"/>
      <c r="FX134" s="19"/>
      <c r="FY134" s="19"/>
      <c r="FZ134" s="19"/>
      <c r="GA134" s="19"/>
      <c r="GB134" s="19"/>
      <c r="GC134" s="20"/>
      <c r="GD134" s="20"/>
      <c r="GE134" s="19"/>
      <c r="GF134" s="21"/>
      <c r="GG134" s="19"/>
      <c r="GH134" s="19"/>
      <c r="GI134" s="19"/>
      <c r="GJ134" s="21"/>
      <c r="GK134" s="19"/>
      <c r="GL134" s="19"/>
      <c r="GM134" s="19"/>
      <c r="GN134" s="19"/>
      <c r="GO134" s="52"/>
      <c r="GP134" s="52"/>
      <c r="GQ134" s="22"/>
      <c r="GR134" s="22"/>
      <c r="GS134" s="22"/>
      <c r="GT134" s="22"/>
      <c r="GU134" s="43"/>
      <c r="GV134" s="19"/>
      <c r="GW134" s="19"/>
      <c r="GX134" s="19"/>
      <c r="GY134" s="19"/>
      <c r="GZ134" s="19"/>
      <c r="HA134" s="52"/>
      <c r="HB134" s="52"/>
      <c r="HC134" s="22"/>
      <c r="HD134" s="52"/>
      <c r="HE134" s="22"/>
      <c r="HF134" s="22"/>
      <c r="HG134" s="233"/>
    </row>
    <row r="135" spans="2:215" ht="15.75">
      <c r="B135" s="10"/>
      <c r="C135" s="161" t="s">
        <v>153</v>
      </c>
      <c r="D135" s="82"/>
      <c r="E135" s="73"/>
      <c r="F135" s="74"/>
      <c r="G135" s="74"/>
      <c r="H135" s="74"/>
      <c r="I135" s="75"/>
      <c r="J135" s="73"/>
      <c r="K135" s="73"/>
      <c r="L135" s="75"/>
      <c r="M135" s="82"/>
      <c r="N135" s="75"/>
      <c r="O135" s="74"/>
      <c r="P135" s="74"/>
      <c r="Q135" s="74"/>
      <c r="R135" s="75"/>
      <c r="S135" s="74"/>
      <c r="T135" s="74"/>
      <c r="U135" s="74"/>
      <c r="V135" s="52"/>
      <c r="W135" s="52"/>
      <c r="X135" s="52"/>
      <c r="Y135" s="52"/>
      <c r="Z135" s="22"/>
      <c r="AA135" s="52"/>
      <c r="AB135" s="22"/>
      <c r="AC135" s="52"/>
      <c r="AD135" s="52"/>
      <c r="AE135" s="22"/>
      <c r="AF135" s="52"/>
      <c r="AG135" s="22"/>
      <c r="AH135" s="52"/>
      <c r="AI135" s="52"/>
      <c r="AJ135" s="52"/>
      <c r="AK135" s="52"/>
      <c r="AL135" s="22"/>
      <c r="AM135" s="52"/>
      <c r="AN135" s="22"/>
      <c r="AO135" s="22"/>
      <c r="AP135" s="22"/>
      <c r="AQ135" s="52"/>
      <c r="AR135" s="52"/>
      <c r="AS135" s="22"/>
      <c r="AT135" s="22"/>
      <c r="AU135" s="22"/>
      <c r="AV135" s="77"/>
      <c r="AW135" s="77"/>
      <c r="AX135" s="78"/>
      <c r="AY135" s="22"/>
      <c r="AZ135" s="22"/>
      <c r="BA135" s="22"/>
      <c r="BB135" s="22"/>
      <c r="BC135" s="52"/>
      <c r="BD135" s="52"/>
      <c r="BE135" s="22"/>
      <c r="BF135" s="52"/>
      <c r="BG135" s="52"/>
      <c r="BH135" s="22"/>
      <c r="BI135" s="22"/>
      <c r="BJ135" s="40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19"/>
      <c r="CX135" s="19"/>
      <c r="CY135" s="19"/>
      <c r="CZ135" s="19"/>
      <c r="DA135" s="21"/>
      <c r="DB135" s="21"/>
      <c r="DC135" s="79"/>
      <c r="DD135" s="79"/>
      <c r="DE135" s="79"/>
      <c r="DF135" s="79"/>
      <c r="DG135" s="79"/>
      <c r="DH135" s="51"/>
      <c r="DI135" s="39"/>
      <c r="DJ135" s="80"/>
      <c r="DK135" s="39"/>
      <c r="DL135" s="39"/>
      <c r="DM135" s="48"/>
      <c r="DN135" s="39"/>
      <c r="DO135" s="39"/>
      <c r="DP135" s="39"/>
      <c r="DQ135" s="39"/>
      <c r="DR135" s="39"/>
      <c r="DS135" s="39"/>
      <c r="DT135" s="39"/>
      <c r="DU135" s="19"/>
      <c r="DV135" s="40"/>
      <c r="DW135" s="40"/>
      <c r="DX135" s="21"/>
      <c r="DY135" s="21"/>
      <c r="DZ135" s="19"/>
      <c r="EA135" s="19"/>
      <c r="EB135" s="19"/>
      <c r="EC135" s="48"/>
      <c r="ED135" s="48"/>
      <c r="EE135" s="52"/>
      <c r="EF135" s="52"/>
      <c r="EG135" s="22"/>
      <c r="EH135" s="52"/>
      <c r="EI135" s="52"/>
      <c r="EJ135" s="22"/>
      <c r="EK135" s="40"/>
      <c r="EL135" s="19"/>
      <c r="EM135" s="19"/>
      <c r="EN135" s="40"/>
      <c r="EO135" s="40"/>
      <c r="EP135" s="40"/>
      <c r="EQ135" s="21"/>
      <c r="ER135" s="21"/>
      <c r="ES135" s="19"/>
      <c r="ET135" s="19"/>
      <c r="EU135" s="19"/>
      <c r="EV135" s="21"/>
      <c r="EW135" s="39"/>
      <c r="EX135" s="39"/>
      <c r="EY135" s="39"/>
      <c r="EZ135" s="39"/>
      <c r="FA135" s="39"/>
      <c r="FB135" s="39"/>
      <c r="FC135" s="39"/>
      <c r="FD135" s="39"/>
      <c r="FE135" s="39"/>
      <c r="FF135" s="39"/>
      <c r="FG135" s="39"/>
      <c r="FH135" s="39"/>
      <c r="FI135" s="39"/>
      <c r="FJ135" s="19"/>
      <c r="FK135" s="19"/>
      <c r="FL135" s="19"/>
      <c r="FM135" s="19"/>
      <c r="FN135" s="19"/>
      <c r="FO135" s="52">
        <v>9959.61</v>
      </c>
      <c r="FP135" s="52">
        <v>10382.51</v>
      </c>
      <c r="FQ135" s="22"/>
      <c r="FR135" s="52" t="s">
        <v>633</v>
      </c>
      <c r="FS135" s="22" t="s">
        <v>633</v>
      </c>
      <c r="FT135" s="22"/>
      <c r="FU135" s="40" t="s">
        <v>657</v>
      </c>
      <c r="FV135" s="19"/>
      <c r="FW135" s="19"/>
      <c r="FX135" s="19"/>
      <c r="FY135" s="19"/>
      <c r="FZ135" s="19"/>
      <c r="GA135" s="19"/>
      <c r="GB135" s="19"/>
      <c r="GC135" s="20"/>
      <c r="GD135" s="20"/>
      <c r="GE135" s="19"/>
      <c r="GF135" s="21"/>
      <c r="GG135" s="19"/>
      <c r="GH135" s="19"/>
      <c r="GI135" s="19"/>
      <c r="GJ135" s="21"/>
      <c r="GK135" s="19"/>
      <c r="GL135" s="19"/>
      <c r="GM135" s="19"/>
      <c r="GN135" s="19"/>
      <c r="GO135" s="22">
        <v>10382.51</v>
      </c>
      <c r="GP135" s="22">
        <v>10697.6</v>
      </c>
      <c r="GQ135" s="22"/>
      <c r="GR135" s="22" t="s">
        <v>633</v>
      </c>
      <c r="GS135" s="22" t="s">
        <v>633</v>
      </c>
      <c r="GT135" s="22"/>
      <c r="GU135" s="40" t="s">
        <v>657</v>
      </c>
      <c r="GV135" s="19"/>
      <c r="GW135" s="19"/>
      <c r="GX135" s="19"/>
      <c r="GY135" s="19"/>
      <c r="GZ135" s="23"/>
      <c r="HA135" s="22">
        <v>10697.6</v>
      </c>
      <c r="HB135" s="22">
        <v>11037.88</v>
      </c>
      <c r="HC135" s="22"/>
      <c r="HD135" s="52" t="s">
        <v>633</v>
      </c>
      <c r="HE135" s="22" t="s">
        <v>633</v>
      </c>
      <c r="HF135" s="22"/>
      <c r="HG135" s="236" t="s">
        <v>657</v>
      </c>
    </row>
    <row r="136" spans="2:215" ht="15.75">
      <c r="B136" s="15"/>
      <c r="C136" s="81" t="s">
        <v>639</v>
      </c>
      <c r="D136" s="82"/>
      <c r="E136" s="73"/>
      <c r="F136" s="74"/>
      <c r="G136" s="74"/>
      <c r="H136" s="74"/>
      <c r="I136" s="75"/>
      <c r="J136" s="73"/>
      <c r="K136" s="73"/>
      <c r="L136" s="75"/>
      <c r="M136" s="82"/>
      <c r="N136" s="75"/>
      <c r="O136" s="74"/>
      <c r="P136" s="74"/>
      <c r="Q136" s="74"/>
      <c r="R136" s="75"/>
      <c r="S136" s="74"/>
      <c r="T136" s="74"/>
      <c r="U136" s="74"/>
      <c r="V136" s="52"/>
      <c r="W136" s="52"/>
      <c r="X136" s="52"/>
      <c r="Y136" s="52"/>
      <c r="Z136" s="22"/>
      <c r="AA136" s="52"/>
      <c r="AB136" s="22"/>
      <c r="AC136" s="52"/>
      <c r="AD136" s="52"/>
      <c r="AE136" s="22"/>
      <c r="AF136" s="52"/>
      <c r="AG136" s="22"/>
      <c r="AH136" s="52"/>
      <c r="AI136" s="52"/>
      <c r="AJ136" s="52"/>
      <c r="AK136" s="52"/>
      <c r="AL136" s="22"/>
      <c r="AM136" s="52"/>
      <c r="AN136" s="22"/>
      <c r="AO136" s="22"/>
      <c r="AP136" s="22"/>
      <c r="AQ136" s="52"/>
      <c r="AR136" s="52"/>
      <c r="AS136" s="22"/>
      <c r="AT136" s="22"/>
      <c r="AU136" s="22"/>
      <c r="AV136" s="77"/>
      <c r="AW136" s="77"/>
      <c r="AX136" s="78"/>
      <c r="AY136" s="22"/>
      <c r="AZ136" s="22"/>
      <c r="BA136" s="22"/>
      <c r="BB136" s="22"/>
      <c r="BC136" s="52"/>
      <c r="BD136" s="52"/>
      <c r="BE136" s="22"/>
      <c r="BF136" s="52"/>
      <c r="BG136" s="52"/>
      <c r="BH136" s="22"/>
      <c r="BI136" s="22"/>
      <c r="BJ136" s="40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19"/>
      <c r="CX136" s="19"/>
      <c r="CY136" s="19"/>
      <c r="CZ136" s="19"/>
      <c r="DA136" s="21"/>
      <c r="DB136" s="21"/>
      <c r="DC136" s="79"/>
      <c r="DD136" s="79"/>
      <c r="DE136" s="79"/>
      <c r="DF136" s="79"/>
      <c r="DG136" s="79"/>
      <c r="DH136" s="51"/>
      <c r="DI136" s="39"/>
      <c r="DJ136" s="80"/>
      <c r="DK136" s="39"/>
      <c r="DL136" s="39"/>
      <c r="DM136" s="48"/>
      <c r="DN136" s="39"/>
      <c r="DO136" s="39"/>
      <c r="DP136" s="39"/>
      <c r="DQ136" s="39"/>
      <c r="DR136" s="39"/>
      <c r="DS136" s="39"/>
      <c r="DT136" s="39"/>
      <c r="DU136" s="19"/>
      <c r="DV136" s="40"/>
      <c r="DW136" s="40"/>
      <c r="DX136" s="21"/>
      <c r="DY136" s="21"/>
      <c r="DZ136" s="19"/>
      <c r="EA136" s="19"/>
      <c r="EB136" s="19"/>
      <c r="EC136" s="48"/>
      <c r="ED136" s="48"/>
      <c r="EE136" s="52"/>
      <c r="EF136" s="52"/>
      <c r="EG136" s="22"/>
      <c r="EH136" s="52"/>
      <c r="EI136" s="52"/>
      <c r="EJ136" s="22"/>
      <c r="EK136" s="40"/>
      <c r="EL136" s="19"/>
      <c r="EM136" s="19"/>
      <c r="EN136" s="40"/>
      <c r="EO136" s="40"/>
      <c r="EP136" s="40"/>
      <c r="EQ136" s="21"/>
      <c r="ER136" s="21"/>
      <c r="ES136" s="19"/>
      <c r="ET136" s="19"/>
      <c r="EU136" s="19"/>
      <c r="EV136" s="21"/>
      <c r="EW136" s="39"/>
      <c r="EX136" s="39"/>
      <c r="EY136" s="39"/>
      <c r="EZ136" s="39"/>
      <c r="FA136" s="39"/>
      <c r="FB136" s="39"/>
      <c r="FC136" s="39"/>
      <c r="FD136" s="39"/>
      <c r="FE136" s="39"/>
      <c r="FF136" s="39"/>
      <c r="FG136" s="39"/>
      <c r="FH136" s="39"/>
      <c r="FI136" s="39"/>
      <c r="FJ136" s="19"/>
      <c r="FK136" s="19"/>
      <c r="FL136" s="19"/>
      <c r="FM136" s="19"/>
      <c r="FN136" s="19"/>
      <c r="FO136" s="52"/>
      <c r="FP136" s="52"/>
      <c r="FQ136" s="22"/>
      <c r="FR136" s="52"/>
      <c r="FS136" s="22"/>
      <c r="FT136" s="22"/>
      <c r="FU136" s="40"/>
      <c r="FV136" s="19"/>
      <c r="FW136" s="19"/>
      <c r="FX136" s="19"/>
      <c r="FY136" s="19"/>
      <c r="FZ136" s="19"/>
      <c r="GA136" s="19"/>
      <c r="GB136" s="19"/>
      <c r="GC136" s="20"/>
      <c r="GD136" s="20"/>
      <c r="GE136" s="19"/>
      <c r="GF136" s="21"/>
      <c r="GG136" s="19"/>
      <c r="GH136" s="19"/>
      <c r="GI136" s="19"/>
      <c r="GJ136" s="21"/>
      <c r="GK136" s="19"/>
      <c r="GL136" s="19"/>
      <c r="GM136" s="19"/>
      <c r="GN136" s="19"/>
      <c r="GO136" s="22"/>
      <c r="GP136" s="22"/>
      <c r="GQ136" s="22"/>
      <c r="GR136" s="22"/>
      <c r="GS136" s="22"/>
      <c r="GT136" s="22"/>
      <c r="GU136" s="43"/>
      <c r="GV136" s="19"/>
      <c r="GW136" s="19"/>
      <c r="GX136" s="19"/>
      <c r="GY136" s="19"/>
      <c r="GZ136" s="23"/>
      <c r="HA136" s="22"/>
      <c r="HB136" s="22"/>
      <c r="HC136" s="22"/>
      <c r="HD136" s="52"/>
      <c r="HE136" s="22"/>
      <c r="HF136" s="22"/>
      <c r="HG136" s="233"/>
    </row>
    <row r="137" spans="2:215" ht="16.149999999999999" customHeight="1" thickBot="1">
      <c r="B137" s="15"/>
      <c r="C137" s="161" t="s">
        <v>640</v>
      </c>
      <c r="D137" s="76"/>
      <c r="E137" s="173"/>
      <c r="F137" s="74"/>
      <c r="G137" s="74"/>
      <c r="H137" s="74"/>
      <c r="I137" s="173"/>
      <c r="J137" s="173"/>
      <c r="K137" s="173"/>
      <c r="L137" s="173"/>
      <c r="M137" s="173"/>
      <c r="N137" s="173"/>
      <c r="O137" s="74"/>
      <c r="P137" s="74"/>
      <c r="Q137" s="74"/>
      <c r="R137" s="173"/>
      <c r="S137" s="173"/>
      <c r="T137" s="173"/>
      <c r="U137" s="173"/>
      <c r="V137" s="22"/>
      <c r="W137" s="22"/>
      <c r="X137" s="5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5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77"/>
      <c r="AW137" s="77"/>
      <c r="AX137" s="78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40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19"/>
      <c r="CX137" s="19"/>
      <c r="CY137" s="19"/>
      <c r="CZ137" s="19"/>
      <c r="DA137" s="21"/>
      <c r="DB137" s="21"/>
      <c r="DC137" s="79"/>
      <c r="DD137" s="79"/>
      <c r="DE137" s="79"/>
      <c r="DF137" s="79"/>
      <c r="DG137" s="79"/>
      <c r="DH137" s="51"/>
      <c r="DI137" s="39"/>
      <c r="DJ137" s="80"/>
      <c r="DK137" s="39"/>
      <c r="DL137" s="39"/>
      <c r="DM137" s="48"/>
      <c r="DN137" s="39"/>
      <c r="DO137" s="39"/>
      <c r="DP137" s="39"/>
      <c r="DQ137" s="39"/>
      <c r="DR137" s="39"/>
      <c r="DS137" s="39"/>
      <c r="DT137" s="39"/>
      <c r="DU137" s="19"/>
      <c r="DV137" s="40"/>
      <c r="DW137" s="40"/>
      <c r="DX137" s="21"/>
      <c r="DY137" s="21"/>
      <c r="DZ137" s="19"/>
      <c r="EA137" s="19"/>
      <c r="EB137" s="19"/>
      <c r="EC137" s="48"/>
      <c r="ED137" s="48"/>
      <c r="EE137" s="22"/>
      <c r="EF137" s="22"/>
      <c r="EG137" s="22"/>
      <c r="EH137" s="22"/>
      <c r="EI137" s="22"/>
      <c r="EJ137" s="22"/>
      <c r="EK137" s="40"/>
      <c r="EL137" s="19"/>
      <c r="EM137" s="19"/>
      <c r="EN137" s="40"/>
      <c r="EO137" s="40"/>
      <c r="EP137" s="40"/>
      <c r="EQ137" s="21"/>
      <c r="ER137" s="21"/>
      <c r="ES137" s="21"/>
      <c r="ET137" s="21"/>
      <c r="EU137" s="19"/>
      <c r="EV137" s="21"/>
      <c r="EW137" s="39"/>
      <c r="EX137" s="39"/>
      <c r="EY137" s="39"/>
      <c r="EZ137" s="39"/>
      <c r="FA137" s="39"/>
      <c r="FB137" s="39"/>
      <c r="FC137" s="39"/>
      <c r="FD137" s="39"/>
      <c r="FE137" s="39"/>
      <c r="FF137" s="39"/>
      <c r="FG137" s="39"/>
      <c r="FH137" s="39"/>
      <c r="FI137" s="39"/>
      <c r="FJ137" s="19"/>
      <c r="FK137" s="19"/>
      <c r="FL137" s="19"/>
      <c r="FM137" s="19"/>
      <c r="FN137" s="19"/>
      <c r="FO137" s="22">
        <v>288.14</v>
      </c>
      <c r="FP137" s="22">
        <v>295.93</v>
      </c>
      <c r="FQ137" s="22"/>
      <c r="FR137" s="22">
        <v>288.14</v>
      </c>
      <c r="FS137" s="22">
        <v>295.93</v>
      </c>
      <c r="FT137" s="22"/>
      <c r="FU137" s="40" t="s">
        <v>628</v>
      </c>
      <c r="FV137" s="19"/>
      <c r="FW137" s="19"/>
      <c r="FX137" s="19"/>
      <c r="FY137" s="19"/>
      <c r="FZ137" s="19"/>
      <c r="GA137" s="19"/>
      <c r="GB137" s="19"/>
      <c r="GC137" s="20"/>
      <c r="GD137" s="20"/>
      <c r="GE137" s="21"/>
      <c r="GF137" s="21"/>
      <c r="GG137" s="21"/>
      <c r="GH137" s="21"/>
      <c r="GI137" s="21"/>
      <c r="GJ137" s="21"/>
      <c r="GK137" s="21"/>
      <c r="GL137" s="21"/>
      <c r="GM137" s="19"/>
      <c r="GN137" s="19"/>
      <c r="GO137" s="57">
        <v>295.93</v>
      </c>
      <c r="GP137" s="57">
        <v>303.45999999999998</v>
      </c>
      <c r="GQ137" s="57"/>
      <c r="GR137" s="57">
        <v>295.93</v>
      </c>
      <c r="GS137" s="57">
        <v>303.45999999999998</v>
      </c>
      <c r="GT137" s="22"/>
      <c r="GU137" s="40" t="s">
        <v>628</v>
      </c>
      <c r="GV137" s="19"/>
      <c r="GW137" s="19"/>
      <c r="GX137" s="19"/>
      <c r="GY137" s="19"/>
      <c r="GZ137" s="19"/>
      <c r="HA137" s="22">
        <v>303.45999999999998</v>
      </c>
      <c r="HB137" s="22">
        <v>312.8</v>
      </c>
      <c r="HC137" s="22"/>
      <c r="HD137" s="22">
        <v>303.45999999999998</v>
      </c>
      <c r="HE137" s="22">
        <v>312.8</v>
      </c>
      <c r="HF137" s="22"/>
      <c r="HG137" s="236" t="s">
        <v>628</v>
      </c>
    </row>
    <row r="138" spans="2:215" ht="16.5" thickBot="1">
      <c r="B138" s="7" t="s">
        <v>290</v>
      </c>
      <c r="C138" s="80" t="s">
        <v>291</v>
      </c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>
        <f t="shared" si="694"/>
        <v>0</v>
      </c>
      <c r="Y138" s="80"/>
      <c r="Z138" s="80">
        <f t="shared" si="568"/>
        <v>0</v>
      </c>
      <c r="AA138" s="80"/>
      <c r="AB138" s="80">
        <f t="shared" si="569"/>
        <v>0</v>
      </c>
      <c r="AC138" s="80"/>
      <c r="AD138" s="80"/>
      <c r="AE138" s="80">
        <f t="shared" si="745"/>
        <v>0</v>
      </c>
      <c r="AF138" s="80"/>
      <c r="AG138" s="80">
        <f>+IF(AC138=0,,AF138/AC138*100)</f>
        <v>0</v>
      </c>
      <c r="AH138" s="80"/>
      <c r="AI138" s="80"/>
      <c r="AJ138" s="80">
        <f t="shared" si="571"/>
        <v>0</v>
      </c>
      <c r="AK138" s="80"/>
      <c r="AL138" s="80">
        <f t="shared" si="572"/>
        <v>0</v>
      </c>
      <c r="AM138" s="80"/>
      <c r="AN138" s="80">
        <f t="shared" si="573"/>
        <v>0</v>
      </c>
      <c r="AO138" s="80">
        <f t="shared" si="695"/>
        <v>0</v>
      </c>
      <c r="AP138" s="80">
        <f t="shared" si="575"/>
        <v>0</v>
      </c>
      <c r="AQ138" s="80"/>
      <c r="AR138" s="80"/>
      <c r="AS138" s="80">
        <f t="shared" ref="AS138" si="746">+IF(AQ138=0,,AT138/AQ138*100)</f>
        <v>0</v>
      </c>
      <c r="AT138" s="80"/>
      <c r="AU138" s="80">
        <f>+IF(AQ138=0,,AT138/AQ138*100)</f>
        <v>0</v>
      </c>
      <c r="AV138" s="77"/>
      <c r="AW138" s="77">
        <f>+CY138/$CY$138*100</f>
        <v>100</v>
      </c>
      <c r="AX138" s="78"/>
      <c r="AY138" s="80">
        <f t="shared" si="577"/>
        <v>0</v>
      </c>
      <c r="AZ138" s="80"/>
      <c r="BA138" s="80"/>
      <c r="BB138" s="80"/>
      <c r="BC138" s="80"/>
      <c r="BD138" s="80"/>
      <c r="BE138" s="22">
        <f t="shared" si="634"/>
        <v>0</v>
      </c>
      <c r="BF138" s="80"/>
      <c r="BG138" s="80"/>
      <c r="BH138" s="22">
        <f t="shared" si="635"/>
        <v>0</v>
      </c>
      <c r="BI138" s="22"/>
      <c r="BJ138" s="40"/>
      <c r="BK138" s="80">
        <f t="shared" si="578"/>
        <v>0</v>
      </c>
      <c r="BL138" s="80">
        <f t="shared" si="579"/>
        <v>0</v>
      </c>
      <c r="BM138" s="80">
        <f t="shared" si="580"/>
        <v>0</v>
      </c>
      <c r="BN138" s="80">
        <f t="shared" si="581"/>
        <v>0</v>
      </c>
      <c r="BO138" s="80">
        <f t="shared" si="582"/>
        <v>0</v>
      </c>
      <c r="BP138" s="80">
        <f t="shared" si="583"/>
        <v>0</v>
      </c>
      <c r="BQ138" s="80">
        <f t="shared" si="584"/>
        <v>0</v>
      </c>
      <c r="BR138" s="80">
        <f t="shared" si="585"/>
        <v>0</v>
      </c>
      <c r="BS138" s="80">
        <f t="shared" si="586"/>
        <v>0</v>
      </c>
      <c r="BT138" s="80">
        <f t="shared" si="587"/>
        <v>0</v>
      </c>
      <c r="BU138" s="80">
        <f t="shared" si="588"/>
        <v>0</v>
      </c>
      <c r="BV138" s="80">
        <f t="shared" si="589"/>
        <v>0</v>
      </c>
      <c r="BW138" s="80"/>
      <c r="BX138" s="48">
        <f>+SUM(BX139:BX181)</f>
        <v>96.757220338983075</v>
      </c>
      <c r="BY138" s="48">
        <f>+SUM(BY139:BY181)</f>
        <v>17.398349999999994</v>
      </c>
      <c r="BZ138" s="80">
        <f>+AC138*R138/1000</f>
        <v>0</v>
      </c>
      <c r="CA138" s="80"/>
      <c r="CB138" s="48">
        <f>+SUM(CB139:CB181)</f>
        <v>106.88595762711866</v>
      </c>
      <c r="CC138" s="48">
        <f>+SUM(CC139:CC181)</f>
        <v>19.264260000000004</v>
      </c>
      <c r="CD138" s="80">
        <f t="shared" ref="CD138:CD184" si="747">+AF138*R138/1000</f>
        <v>0</v>
      </c>
      <c r="CE138" s="80">
        <f t="shared" ref="CE138" si="748">+IF(R138=0,,BN138/R138*1000)</f>
        <v>0</v>
      </c>
      <c r="CF138" s="80">
        <f t="shared" ref="CF138" si="749">+IF(I138=0,,BR138/I138*1000)</f>
        <v>0</v>
      </c>
      <c r="CG138" s="80">
        <f t="shared" ref="CG138" si="750">+IF(I138=0,,BV138/I138*1000)</f>
        <v>0</v>
      </c>
      <c r="CH138" s="80">
        <f t="shared" ref="CH138" si="751">+IF(E138=0,,BL138/E138*1000*1.18)</f>
        <v>0</v>
      </c>
      <c r="CI138" s="80">
        <f t="shared" ref="CI138" si="752">+IF(E138=0,,BP138/E138*1.18*1000)</f>
        <v>0</v>
      </c>
      <c r="CJ138" s="80">
        <f t="shared" ref="CJ138" si="753">+IF(E138=0,,BT138/E138*1.18*1000)</f>
        <v>0</v>
      </c>
      <c r="CK138" s="80">
        <f t="shared" ref="CK138" si="754">+IF(D138=0,,BK138/D138*1000)</f>
        <v>0</v>
      </c>
      <c r="CL138" s="80">
        <f t="shared" ref="CL138" si="755">+IF(D138=0,,BO138/D138*1000)</f>
        <v>0</v>
      </c>
      <c r="CM138" s="80">
        <f t="shared" ref="CM138" si="756">+IF(D138=0,,BS138/D138*1000)</f>
        <v>0</v>
      </c>
      <c r="CN138" s="80">
        <f>+IF((D138+D138+D138)=0,,(BK138+BO138+BS138)/(D138+D138+D138))*1000</f>
        <v>0</v>
      </c>
      <c r="CO138" s="80">
        <f t="shared" ref="CO138" si="757">+IF(R138=0,,BZ138/R138*1000)</f>
        <v>0</v>
      </c>
      <c r="CP138" s="80">
        <f t="shared" ref="CP138" si="758">+IF(R138=0,,CD138/R138*1000)</f>
        <v>0</v>
      </c>
      <c r="CQ138" s="80">
        <f t="shared" ref="CQ138" si="759">+IF(N138=0,,BX138/N138*1.18*1000)</f>
        <v>0</v>
      </c>
      <c r="CR138" s="80">
        <f t="shared" ref="CR138" si="760">+IF(N138=0,,CB138/N138*1.18*1000)</f>
        <v>0</v>
      </c>
      <c r="CS138" s="80">
        <f t="shared" ref="CS138" si="761">+IF(M138=0,,BW138/M138*1000)</f>
        <v>0</v>
      </c>
      <c r="CT138" s="80">
        <f t="shared" ref="CT138" si="762">+IF(M138=0,,CA138/M138*1000)</f>
        <v>0</v>
      </c>
      <c r="CU138" s="80">
        <f>+IF((M138+M138)=0,,(CA138+BW138)/(M138+M138))*1000</f>
        <v>0</v>
      </c>
      <c r="CV138" s="80">
        <f t="shared" si="608"/>
        <v>0</v>
      </c>
      <c r="CW138" s="48" t="e">
        <f>+SUM(CW139:CW181)</f>
        <v>#REF!</v>
      </c>
      <c r="CX138" s="48" t="e">
        <f>+SUM(CX139:CX181)</f>
        <v>#REF!</v>
      </c>
      <c r="CY138" s="48">
        <f>+SUM(CY139:CY181)</f>
        <v>101.82158898305086</v>
      </c>
      <c r="CZ138" s="48">
        <f>+SUM(CZ139:CZ181)</f>
        <v>120.14947500000001</v>
      </c>
      <c r="DA138" s="20" t="e">
        <f t="shared" si="609"/>
        <v>#REF!</v>
      </c>
      <c r="DB138" s="20">
        <f t="shared" si="610"/>
        <v>84.745762711864415</v>
      </c>
      <c r="DC138" s="20" t="e">
        <f t="shared" si="611"/>
        <v>#REF!</v>
      </c>
      <c r="DD138" s="20" t="e">
        <f t="shared" si="611"/>
        <v>#REF!</v>
      </c>
      <c r="DE138" s="79">
        <f t="shared" ref="DE138:DF138" si="763">+(O138+S138)*AC138/1000</f>
        <v>0</v>
      </c>
      <c r="DF138" s="79">
        <f t="shared" si="763"/>
        <v>0</v>
      </c>
      <c r="DG138" s="79">
        <f t="shared" ref="DG138:DG163" si="764">+AF138*(Q138+U138)/1000</f>
        <v>0</v>
      </c>
      <c r="DH138" s="51">
        <f t="shared" si="614"/>
        <v>0</v>
      </c>
      <c r="DI138" s="39"/>
      <c r="DJ138" s="80">
        <f t="shared" ref="DJ138" si="765">+(F138+J138)*W138/1000</f>
        <v>0</v>
      </c>
      <c r="DK138" s="39">
        <f t="shared" ref="DK138" si="766">+Y138*(G138+K138)/1000</f>
        <v>0</v>
      </c>
      <c r="DL138" s="39">
        <f t="shared" ref="DL138" si="767">+(H138+L138)*AA138/1000</f>
        <v>0</v>
      </c>
      <c r="DM138" s="48">
        <f>+AT138-'[2]тарифы (12-13) население 15%'!AP188</f>
        <v>0</v>
      </c>
      <c r="DN138" s="39"/>
      <c r="DO138" s="39"/>
      <c r="DP138" s="39"/>
      <c r="DQ138" s="39"/>
      <c r="DR138" s="39"/>
      <c r="DS138" s="39"/>
      <c r="DT138" s="39"/>
      <c r="DU138" s="19">
        <f t="shared" si="636"/>
        <v>0</v>
      </c>
      <c r="DV138" s="42">
        <f>+SUM(DV139:DV181)</f>
        <v>261677.28639513624</v>
      </c>
      <c r="DW138" s="42">
        <f>+SUM(DW139:DW181)</f>
        <v>541132.47294370166</v>
      </c>
      <c r="DX138" s="42">
        <f>+'[1]тарифы (НВВ) население на 4,2%'!CO196</f>
        <v>60.525332593690869</v>
      </c>
      <c r="DY138" s="42">
        <f t="shared" si="618"/>
        <v>48.357343068258373</v>
      </c>
      <c r="DZ138" s="19">
        <f t="shared" si="619"/>
        <v>0</v>
      </c>
      <c r="EA138" s="19">
        <f t="shared" si="620"/>
        <v>0</v>
      </c>
      <c r="EB138" s="19"/>
      <c r="EC138" s="22">
        <f>+SUM(EC139:EC181)</f>
        <v>243238.42272362718</v>
      </c>
      <c r="ED138" s="22">
        <f>+SUM(ED139:ED181)</f>
        <v>253454.39408240342</v>
      </c>
      <c r="EE138" s="80"/>
      <c r="EF138" s="80"/>
      <c r="EG138" s="22">
        <f t="shared" si="621"/>
        <v>0</v>
      </c>
      <c r="EH138" s="80"/>
      <c r="EI138" s="80"/>
      <c r="EJ138" s="22">
        <f t="shared" si="622"/>
        <v>0</v>
      </c>
      <c r="EK138" s="40"/>
      <c r="EL138" s="40"/>
      <c r="EM138" s="40"/>
      <c r="EN138" s="146">
        <f>+SUM(EN139:EN181)</f>
        <v>283932.11722308514</v>
      </c>
      <c r="EO138" s="146">
        <f>+SUM(EO139:EO181)</f>
        <v>586373.43246297515</v>
      </c>
      <c r="EP138" s="146" t="e">
        <f>+$EN$442/$EN$445*EN138</f>
        <v>#REF!</v>
      </c>
      <c r="EQ138" s="42">
        <f t="shared" si="623"/>
        <v>48.421722660672081</v>
      </c>
      <c r="ER138" s="42" t="e">
        <f>+IF((EN138+EP138)=0,,(EN138+EP138)/(EO138+EP138))*100</f>
        <v>#REF!</v>
      </c>
      <c r="ES138" s="42"/>
      <c r="ET138" s="42"/>
      <c r="EU138" s="19">
        <f t="shared" si="624"/>
        <v>0</v>
      </c>
      <c r="EV138" s="42"/>
      <c r="EW138" s="39"/>
      <c r="EX138" s="39">
        <f t="shared" ref="EX138:EX184" si="768">+BD138*AY138</f>
        <v>0</v>
      </c>
      <c r="EY138" s="39">
        <f t="shared" si="731"/>
        <v>0</v>
      </c>
      <c r="EZ138" s="39"/>
      <c r="FA138" s="39"/>
      <c r="FB138" s="39"/>
      <c r="FC138" s="39"/>
      <c r="FD138" s="39"/>
      <c r="FE138" s="39"/>
      <c r="FF138" s="39"/>
      <c r="FG138" s="39"/>
      <c r="FH138" s="39"/>
      <c r="FI138" s="39"/>
      <c r="FJ138" s="41">
        <f>+SUM(FJ139:FJ181)</f>
        <v>286220.59505676787</v>
      </c>
      <c r="FK138" s="41">
        <f>+SUM(FK139:FK181)</f>
        <v>302441.28676531371</v>
      </c>
      <c r="FL138" s="41">
        <f t="shared" si="626"/>
        <v>588661.88182208152</v>
      </c>
      <c r="FM138" s="40"/>
      <c r="FN138" s="40"/>
      <c r="FO138" s="80">
        <f t="shared" ref="FO138:FO184" si="769">+EF138</f>
        <v>0</v>
      </c>
      <c r="FP138" s="80"/>
      <c r="FQ138" s="22"/>
      <c r="FR138" s="80">
        <f t="shared" si="628"/>
        <v>0</v>
      </c>
      <c r="FS138" s="80"/>
      <c r="FT138" s="22"/>
      <c r="FU138" s="40"/>
      <c r="FV138" s="41">
        <f t="shared" ref="FV138:GB138" si="770">+SUM(FV139:FV181)</f>
        <v>0</v>
      </c>
      <c r="FW138" s="41">
        <f t="shared" si="770"/>
        <v>0</v>
      </c>
      <c r="FX138" s="41">
        <f t="shared" si="770"/>
        <v>0</v>
      </c>
      <c r="FY138" s="41">
        <f t="shared" si="770"/>
        <v>0</v>
      </c>
      <c r="FZ138" s="41">
        <f t="shared" si="770"/>
        <v>0</v>
      </c>
      <c r="GA138" s="41">
        <f t="shared" si="770"/>
        <v>0</v>
      </c>
      <c r="GB138" s="41">
        <f t="shared" si="770"/>
        <v>0</v>
      </c>
      <c r="GC138" s="20">
        <f t="shared" ref="GC138:GC139" si="771">+IF(FZ138=0,,FY138/FZ138*100)</f>
        <v>0</v>
      </c>
      <c r="GD138" s="20">
        <f t="shared" si="741"/>
        <v>0</v>
      </c>
      <c r="GE138" s="42"/>
      <c r="GF138" s="42"/>
      <c r="GG138" s="42"/>
      <c r="GH138" s="42"/>
      <c r="GI138" s="42"/>
      <c r="GJ138" s="42"/>
      <c r="GK138" s="42"/>
      <c r="GL138" s="42"/>
      <c r="GM138" s="40"/>
      <c r="GN138" s="40"/>
      <c r="GO138" s="80"/>
      <c r="GP138" s="80"/>
      <c r="GQ138" s="22"/>
      <c r="GR138" s="80"/>
      <c r="GS138" s="80"/>
      <c r="GT138" s="22"/>
      <c r="GU138" s="43"/>
      <c r="GV138" s="41"/>
      <c r="GW138" s="41"/>
      <c r="GX138" s="41">
        <f>+SUM(GX139:GX181)</f>
        <v>0</v>
      </c>
      <c r="GY138" s="41">
        <f>+SUM(GY139:GY181)</f>
        <v>0</v>
      </c>
      <c r="GZ138" s="44">
        <f t="shared" ref="GZ138" si="772">+IF(GY138=0,,GX138/GY138*100)</f>
        <v>0</v>
      </c>
      <c r="HA138" s="80"/>
      <c r="HB138" s="80"/>
      <c r="HC138" s="22"/>
      <c r="HD138" s="80"/>
      <c r="HE138" s="80"/>
      <c r="HF138" s="22"/>
      <c r="HG138" s="233"/>
    </row>
    <row r="139" spans="2:215" ht="15.75">
      <c r="B139" s="10" t="s">
        <v>293</v>
      </c>
      <c r="C139" s="192" t="s">
        <v>152</v>
      </c>
      <c r="D139" s="73"/>
      <c r="E139" s="73"/>
      <c r="F139" s="74"/>
      <c r="G139" s="74"/>
      <c r="H139" s="74"/>
      <c r="I139" s="73"/>
      <c r="J139" s="74"/>
      <c r="K139" s="74"/>
      <c r="L139" s="74"/>
      <c r="M139" s="143"/>
      <c r="N139" s="191"/>
      <c r="O139" s="74"/>
      <c r="P139" s="74"/>
      <c r="Q139" s="74"/>
      <c r="R139" s="191"/>
      <c r="S139" s="74"/>
      <c r="T139" s="74"/>
      <c r="U139" s="74"/>
      <c r="V139" s="22"/>
      <c r="W139" s="22"/>
      <c r="X139" s="52"/>
      <c r="Y139" s="22"/>
      <c r="Z139" s="22"/>
      <c r="AA139" s="22"/>
      <c r="AB139" s="22"/>
      <c r="AC139" s="22"/>
      <c r="AD139" s="22"/>
      <c r="AE139" s="22"/>
      <c r="AF139" s="22"/>
      <c r="AG139" s="22">
        <f t="shared" ref="AG139:AG186" si="773">+IF(AD139=0,,AF139/AD139*100)</f>
        <v>0</v>
      </c>
      <c r="AH139" s="22"/>
      <c r="AI139" s="22"/>
      <c r="AJ139" s="5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>
        <f t="shared" ref="AU139:AU186" si="774">+IF(AR139=0,,AT139/AR139*100)</f>
        <v>0</v>
      </c>
      <c r="AV139" s="77"/>
      <c r="AW139" s="77"/>
      <c r="AX139" s="78"/>
      <c r="AY139" s="22">
        <f t="shared" ref="AY139:AY188" si="775">+AZ139+BA139+BB139</f>
        <v>0</v>
      </c>
      <c r="AZ139" s="22"/>
      <c r="BA139" s="22"/>
      <c r="BB139" s="22"/>
      <c r="BC139" s="22"/>
      <c r="BD139" s="22"/>
      <c r="BE139" s="22">
        <f t="shared" ref="BE139:BE196" si="776">+IF(BC139=0,,BD139/BC139*100)</f>
        <v>0</v>
      </c>
      <c r="BF139" s="22"/>
      <c r="BG139" s="22"/>
      <c r="BH139" s="22">
        <f t="shared" ref="BH139:BH196" si="777">+IF(BF139=0,,BG139/BF139*100)</f>
        <v>0</v>
      </c>
      <c r="BI139" s="22"/>
      <c r="BJ139" s="40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19"/>
      <c r="CX139" s="19"/>
      <c r="CY139" s="19"/>
      <c r="CZ139" s="19"/>
      <c r="DA139" s="21"/>
      <c r="DB139" s="21"/>
      <c r="DC139" s="79"/>
      <c r="DD139" s="79"/>
      <c r="DE139" s="79"/>
      <c r="DF139" s="79"/>
      <c r="DG139" s="79"/>
      <c r="DH139" s="51"/>
      <c r="DI139" s="39"/>
      <c r="DJ139" s="80"/>
      <c r="DK139" s="39"/>
      <c r="DL139" s="39"/>
      <c r="DM139" s="48"/>
      <c r="DN139" s="39"/>
      <c r="DO139" s="39"/>
      <c r="DP139" s="39"/>
      <c r="DQ139" s="39"/>
      <c r="DR139" s="39"/>
      <c r="DS139" s="39"/>
      <c r="DT139" s="39"/>
      <c r="DU139" s="19">
        <f t="shared" ref="DU139:DU196" si="778">+(BF139*AZ139)/1.18</f>
        <v>0</v>
      </c>
      <c r="DV139" s="40">
        <f t="shared" ref="DV139:DV186" si="779">+(BG139*AZ139)/1.18</f>
        <v>0</v>
      </c>
      <c r="DW139" s="40">
        <f t="shared" ref="DW139:DW186" si="780">+BD139*AZ139</f>
        <v>0</v>
      </c>
      <c r="DX139" s="46"/>
      <c r="DY139" s="21">
        <f t="shared" ref="DY139:DY188" si="781">+IF(DW139=0,,DV139/DW139*100)</f>
        <v>0</v>
      </c>
      <c r="DZ139" s="19">
        <f t="shared" ref="DZ139:DZ188" si="782">+BC139*AY139/1000</f>
        <v>0</v>
      </c>
      <c r="EA139" s="19">
        <f t="shared" ref="EA139:EA188" si="783">+BD139*AY139/1000</f>
        <v>0</v>
      </c>
      <c r="EB139" s="19"/>
      <c r="EC139" s="48">
        <f t="shared" ref="EC139:EC162" si="784">+(BC139-BF139/1.18)*AZ139/2</f>
        <v>0</v>
      </c>
      <c r="ED139" s="48">
        <f t="shared" ref="ED139:ED162" si="785">+(BD139-BG139/1.18)*AZ139/2</f>
        <v>0</v>
      </c>
      <c r="EE139" s="22"/>
      <c r="EF139" s="22"/>
      <c r="EG139" s="22">
        <f t="shared" ref="EG139:EG188" si="786">+IF(EE139=0,,EF139/EE139*100)</f>
        <v>0</v>
      </c>
      <c r="EH139" s="22"/>
      <c r="EI139" s="22"/>
      <c r="EJ139" s="22">
        <f t="shared" ref="EJ139:EJ188" si="787">+IF(EH139=0,,EI139/EH139*100)</f>
        <v>0</v>
      </c>
      <c r="EK139" s="40"/>
      <c r="EL139" s="19"/>
      <c r="EM139" s="19"/>
      <c r="EN139" s="40">
        <f t="shared" ref="EN139:EN186" si="788">+(EI139*EM139)/1.18</f>
        <v>0</v>
      </c>
      <c r="EO139" s="40">
        <f t="shared" ref="EO139:EO186" si="789">+EF139*EM139</f>
        <v>0</v>
      </c>
      <c r="EP139" s="40"/>
      <c r="EQ139" s="21">
        <f t="shared" ref="EQ139:EQ185" si="790">+IF(EO139=0,,EN139/EO139*100)</f>
        <v>0</v>
      </c>
      <c r="ER139" s="21"/>
      <c r="ES139" s="21">
        <f t="shared" ref="ES139:ES163" si="791">+EL139*EE139</f>
        <v>0</v>
      </c>
      <c r="ET139" s="21"/>
      <c r="EU139" s="19">
        <f t="shared" ref="EU139:EU186" si="792">+EF139*EL139</f>
        <v>0</v>
      </c>
      <c r="EV139" s="21"/>
      <c r="EW139" s="39"/>
      <c r="EX139" s="39">
        <f t="shared" si="768"/>
        <v>0</v>
      </c>
      <c r="EY139" s="39">
        <f t="shared" si="731"/>
        <v>0</v>
      </c>
      <c r="EZ139" s="39"/>
      <c r="FA139" s="39"/>
      <c r="FB139" s="39"/>
      <c r="FC139" s="39"/>
      <c r="FD139" s="39"/>
      <c r="FE139" s="39"/>
      <c r="FF139" s="39"/>
      <c r="FG139" s="39"/>
      <c r="FH139" s="39"/>
      <c r="FI139" s="39"/>
      <c r="FJ139" s="19">
        <f t="shared" ref="FJ139:FJ186" si="793">+(EE139-EH139/1.18)*EM139</f>
        <v>0</v>
      </c>
      <c r="FK139" s="19">
        <f t="shared" ref="FK139:FK186" si="794">+(EF139-EI139/1.18)*EM139</f>
        <v>0</v>
      </c>
      <c r="FL139" s="19">
        <f t="shared" ref="FL139:FL186" si="795">+FJ139+FK139</f>
        <v>0</v>
      </c>
      <c r="FM139" s="19"/>
      <c r="FN139" s="19"/>
      <c r="FO139" s="22">
        <f t="shared" si="769"/>
        <v>0</v>
      </c>
      <c r="FP139" s="22"/>
      <c r="FQ139" s="22"/>
      <c r="FR139" s="22">
        <f t="shared" ref="FR139:FR185" si="796">+EI139</f>
        <v>0</v>
      </c>
      <c r="FS139" s="22"/>
      <c r="FT139" s="22"/>
      <c r="FU139" s="40"/>
      <c r="FV139" s="19">
        <f>+(FO139-FR139/1.18)*FN139</f>
        <v>0</v>
      </c>
      <c r="FW139" s="19">
        <f>+(FP139-FS139/1.18)*FN139</f>
        <v>0</v>
      </c>
      <c r="FX139" s="19">
        <f t="shared" ref="FX139:FX185" si="797">+(FW139/2)-FV139/2</f>
        <v>0</v>
      </c>
      <c r="FY139" s="19">
        <f t="shared" ref="FY139:FY185" si="798">+(FR139*EM139)/1.18</f>
        <v>0</v>
      </c>
      <c r="FZ139" s="19">
        <f t="shared" ref="FZ139:FZ185" si="799">+FO139*EM139</f>
        <v>0</v>
      </c>
      <c r="GA139" s="19">
        <f t="shared" ref="GA139:GA185" si="800">+(FS139*EM139)/1.18</f>
        <v>0</v>
      </c>
      <c r="GB139" s="19">
        <f t="shared" ref="GB139:GB185" si="801">+FP139*EM139</f>
        <v>0</v>
      </c>
      <c r="GC139" s="20">
        <f t="shared" si="771"/>
        <v>0</v>
      </c>
      <c r="GD139" s="20">
        <f t="shared" si="741"/>
        <v>0</v>
      </c>
      <c r="GE139" s="21"/>
      <c r="GF139" s="21">
        <f t="shared" ref="GF139" si="802">+FR139*FN139</f>
        <v>0</v>
      </c>
      <c r="GG139" s="21"/>
      <c r="GH139" s="21"/>
      <c r="GI139" s="21">
        <f t="shared" ref="GI139" si="803">+FP139*FM139</f>
        <v>0</v>
      </c>
      <c r="GJ139" s="21">
        <f t="shared" ref="GJ139" si="804">+FS139*FN139</f>
        <v>0</v>
      </c>
      <c r="GK139" s="21"/>
      <c r="GL139" s="21"/>
      <c r="GM139" s="19"/>
      <c r="GN139" s="19"/>
      <c r="GO139" s="22"/>
      <c r="GP139" s="22"/>
      <c r="GQ139" s="22"/>
      <c r="GR139" s="22"/>
      <c r="GS139" s="22"/>
      <c r="GT139" s="22"/>
      <c r="GU139" s="43"/>
      <c r="GV139" s="19"/>
      <c r="GW139" s="19"/>
      <c r="GX139" s="19"/>
      <c r="GY139" s="19"/>
      <c r="GZ139" s="19"/>
      <c r="HA139" s="22"/>
      <c r="HB139" s="22"/>
      <c r="HC139" s="22"/>
      <c r="HD139" s="22"/>
      <c r="HE139" s="22"/>
      <c r="HF139" s="22"/>
      <c r="HG139" s="233"/>
    </row>
    <row r="140" spans="2:215" ht="15.75">
      <c r="B140" s="10"/>
      <c r="C140" s="161" t="s">
        <v>294</v>
      </c>
      <c r="D140" s="73"/>
      <c r="E140" s="73"/>
      <c r="F140" s="74"/>
      <c r="G140" s="74"/>
      <c r="H140" s="74"/>
      <c r="I140" s="73"/>
      <c r="J140" s="74"/>
      <c r="K140" s="74"/>
      <c r="L140" s="74"/>
      <c r="M140" s="143"/>
      <c r="N140" s="191"/>
      <c r="O140" s="74"/>
      <c r="P140" s="74"/>
      <c r="Q140" s="74"/>
      <c r="R140" s="191"/>
      <c r="S140" s="74"/>
      <c r="T140" s="74"/>
      <c r="U140" s="74"/>
      <c r="V140" s="22"/>
      <c r="W140" s="22"/>
      <c r="X140" s="52"/>
      <c r="Y140" s="22"/>
      <c r="Z140" s="22"/>
      <c r="AA140" s="22"/>
      <c r="AB140" s="22"/>
      <c r="AC140" s="22"/>
      <c r="AD140" s="22">
        <v>2523.4</v>
      </c>
      <c r="AE140" s="22">
        <f>+IF(AC140=0,,AF140/AC140*100)</f>
        <v>0</v>
      </c>
      <c r="AF140" s="22">
        <v>2523.4</v>
      </c>
      <c r="AG140" s="22">
        <f t="shared" si="773"/>
        <v>100</v>
      </c>
      <c r="AH140" s="22"/>
      <c r="AI140" s="22"/>
      <c r="AJ140" s="52"/>
      <c r="AK140" s="22"/>
      <c r="AL140" s="22"/>
      <c r="AM140" s="22"/>
      <c r="AN140" s="22"/>
      <c r="AO140" s="22"/>
      <c r="AP140" s="22"/>
      <c r="AQ140" s="22"/>
      <c r="AR140" s="22">
        <v>1212.5</v>
      </c>
      <c r="AS140" s="22">
        <f t="shared" ref="AS140:AS146" si="805">+IF(AQ140=0,,AT140/AQ140*100)</f>
        <v>0</v>
      </c>
      <c r="AT140" s="22">
        <v>1354.36</v>
      </c>
      <c r="AU140" s="22">
        <f t="shared" si="774"/>
        <v>111.69979381443298</v>
      </c>
      <c r="AV140" s="77"/>
      <c r="AW140" s="77"/>
      <c r="AX140" s="239" t="s">
        <v>139</v>
      </c>
      <c r="AY140" s="22">
        <f t="shared" si="775"/>
        <v>209.26931000000002</v>
      </c>
      <c r="AZ140" s="22">
        <f>+[8]БПр!$BX$220/1000</f>
        <v>172.75071000000003</v>
      </c>
      <c r="BA140" s="22">
        <f>+[8]БПр!$BW$220/1000</f>
        <v>27.522470000000002</v>
      </c>
      <c r="BB140" s="22">
        <f>+([8]БПр!$BY$220+[8]БПр!$BP$222)/1000</f>
        <v>8.9961299999999991</v>
      </c>
      <c r="BC140" s="22">
        <v>2523.4</v>
      </c>
      <c r="BD140" s="22">
        <v>2629.38</v>
      </c>
      <c r="BE140" s="22">
        <f t="shared" si="776"/>
        <v>104.19988903859871</v>
      </c>
      <c r="BF140" s="22">
        <v>1354.36</v>
      </c>
      <c r="BG140" s="22">
        <v>1411.24</v>
      </c>
      <c r="BH140" s="22">
        <f t="shared" si="777"/>
        <v>104.19976963288934</v>
      </c>
      <c r="BI140" s="22">
        <f>+BD140-BG140/1.18</f>
        <v>1433.4138983050848</v>
      </c>
      <c r="BJ140" s="40" t="s">
        <v>140</v>
      </c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19"/>
      <c r="CX140" s="19"/>
      <c r="CY140" s="19"/>
      <c r="CZ140" s="19"/>
      <c r="DA140" s="21"/>
      <c r="DB140" s="21"/>
      <c r="DC140" s="79"/>
      <c r="DD140" s="79"/>
      <c r="DE140" s="79"/>
      <c r="DF140" s="79"/>
      <c r="DG140" s="79"/>
      <c r="DH140" s="51"/>
      <c r="DI140" s="39"/>
      <c r="DJ140" s="80"/>
      <c r="DK140" s="39"/>
      <c r="DL140" s="39"/>
      <c r="DM140" s="48"/>
      <c r="DN140" s="39"/>
      <c r="DO140" s="39"/>
      <c r="DP140" s="39"/>
      <c r="DQ140" s="39"/>
      <c r="DR140" s="39"/>
      <c r="DS140" s="39"/>
      <c r="DT140" s="39"/>
      <c r="DU140" s="19">
        <f t="shared" si="778"/>
        <v>198276.82338610172</v>
      </c>
      <c r="DV140" s="40">
        <f t="shared" si="779"/>
        <v>206603.99320372884</v>
      </c>
      <c r="DW140" s="40">
        <f t="shared" si="780"/>
        <v>454227.26185980008</v>
      </c>
      <c r="DX140" s="21">
        <f>+('[1]тарифы (НВВ) население на 4,2%'!CL198+'[1]тарифы (НВВ) население на 4,2%'!CL199+'[1]тарифы (НВВ) население на 4,2%'!CL200+'[1]тарифы (НВВ) население на 4,2%'!CL201)/('[1]тарифы (НВВ) население на 4,2%'!CM198+'[1]тарифы (НВВ) население на 4,2%'!CM199+'[1]тарифы (НВВ) население на 4,2%'!CM200+'[1]тарифы (НВВ) население на 4,2%'!CM201)*100</f>
        <v>43.422356106563988</v>
      </c>
      <c r="DY140" s="21">
        <f t="shared" si="781"/>
        <v>45.484718895515869</v>
      </c>
      <c r="DZ140" s="19">
        <f t="shared" si="782"/>
        <v>528.07017685400012</v>
      </c>
      <c r="EA140" s="19">
        <f t="shared" si="783"/>
        <v>550.24853832780013</v>
      </c>
      <c r="EB140" s="48">
        <v>1859.47</v>
      </c>
      <c r="EC140" s="48">
        <f>+(BC140-BF140/1.18)*AZ140</f>
        <v>237642.31822789836</v>
      </c>
      <c r="ED140" s="48">
        <f>+(BD140-BG140/1.18)*AZ140</f>
        <v>247623.26865607122</v>
      </c>
      <c r="EE140" s="22">
        <v>2629.38</v>
      </c>
      <c r="EF140" s="22">
        <v>2813.43</v>
      </c>
      <c r="EG140" s="22">
        <f t="shared" si="786"/>
        <v>106.99974899025624</v>
      </c>
      <c r="EH140" s="22">
        <v>1411.24</v>
      </c>
      <c r="EI140" s="22">
        <v>1530.48</v>
      </c>
      <c r="EJ140" s="22">
        <f t="shared" si="787"/>
        <v>108.44930699243218</v>
      </c>
      <c r="EK140" s="40" t="s">
        <v>141</v>
      </c>
      <c r="EL140" s="19">
        <v>214.16103999999999</v>
      </c>
      <c r="EM140" s="19">
        <v>172.99808999999999</v>
      </c>
      <c r="EN140" s="40">
        <f t="shared" si="788"/>
        <v>224381.45490101696</v>
      </c>
      <c r="EO140" s="40">
        <f t="shared" si="789"/>
        <v>486718.01634869992</v>
      </c>
      <c r="EP140" s="40"/>
      <c r="EQ140" s="21">
        <f t="shared" si="790"/>
        <v>46.100914156475994</v>
      </c>
      <c r="ER140" s="21"/>
      <c r="ES140" s="21">
        <f t="shared" si="791"/>
        <v>563110.75535520003</v>
      </c>
      <c r="ET140" s="21"/>
      <c r="EU140" s="19">
        <f t="shared" si="792"/>
        <v>602527.09476719995</v>
      </c>
      <c r="EV140" s="21"/>
      <c r="EW140" s="39"/>
      <c r="EX140" s="39">
        <f t="shared" si="768"/>
        <v>550248.53832780011</v>
      </c>
      <c r="EY140" s="39">
        <f t="shared" si="731"/>
        <v>588764.55483330006</v>
      </c>
      <c r="EZ140" s="39"/>
      <c r="FA140" s="39"/>
      <c r="FB140" s="39"/>
      <c r="FC140" s="39"/>
      <c r="FD140" s="39"/>
      <c r="FE140" s="39"/>
      <c r="FF140" s="39"/>
      <c r="FG140" s="39"/>
      <c r="FH140" s="39"/>
      <c r="FI140" s="39"/>
      <c r="FJ140" s="19">
        <f t="shared" si="793"/>
        <v>247977.8665862339</v>
      </c>
      <c r="FK140" s="19">
        <f t="shared" si="794"/>
        <v>262336.56144768297</v>
      </c>
      <c r="FL140" s="19">
        <f t="shared" si="795"/>
        <v>510314.42803391686</v>
      </c>
      <c r="FM140" s="19">
        <f>195.484-43.628</f>
        <v>151.85599999999999</v>
      </c>
      <c r="FN140" s="19">
        <f>158.947-35.174</f>
        <v>123.773</v>
      </c>
      <c r="FO140" s="22">
        <v>3013.12</v>
      </c>
      <c r="FP140" s="22">
        <v>3083.47</v>
      </c>
      <c r="FQ140" s="22"/>
      <c r="FR140" s="22">
        <v>2036.91</v>
      </c>
      <c r="FS140" s="22">
        <v>2138.7600000000002</v>
      </c>
      <c r="FT140" s="22"/>
      <c r="FU140" s="240" t="s">
        <v>624</v>
      </c>
      <c r="FV140" s="19"/>
      <c r="FW140" s="19"/>
      <c r="FX140" s="19"/>
      <c r="FY140" s="19"/>
      <c r="FZ140" s="19"/>
      <c r="GA140" s="19"/>
      <c r="GB140" s="19"/>
      <c r="GC140" s="20"/>
      <c r="GD140" s="20"/>
      <c r="GE140" s="21"/>
      <c r="GF140" s="21"/>
      <c r="GG140" s="21"/>
      <c r="GH140" s="21"/>
      <c r="GI140" s="21"/>
      <c r="GJ140" s="21"/>
      <c r="GK140" s="21"/>
      <c r="GL140" s="21"/>
      <c r="GM140" s="19"/>
      <c r="GN140" s="19"/>
      <c r="GO140" s="22">
        <v>3083.47</v>
      </c>
      <c r="GP140" s="22">
        <v>3217.34</v>
      </c>
      <c r="GQ140" s="22"/>
      <c r="GR140" s="22">
        <v>2138.7600000000002</v>
      </c>
      <c r="GS140" s="22">
        <v>2220.0300000000002</v>
      </c>
      <c r="GT140" s="22"/>
      <c r="GU140" s="240" t="s">
        <v>624</v>
      </c>
      <c r="GV140" s="19"/>
      <c r="GW140" s="19"/>
      <c r="GX140" s="19"/>
      <c r="GY140" s="19"/>
      <c r="GZ140" s="23"/>
      <c r="HA140" s="22">
        <v>3217.34</v>
      </c>
      <c r="HB140" s="22">
        <v>3305.42</v>
      </c>
      <c r="HC140" s="22"/>
      <c r="HD140" s="22">
        <v>2220.0300000000002</v>
      </c>
      <c r="HE140" s="22">
        <v>2308.83</v>
      </c>
      <c r="HF140" s="22"/>
      <c r="HG140" s="240" t="s">
        <v>624</v>
      </c>
    </row>
    <row r="141" spans="2:215" ht="31.5">
      <c r="B141" s="10"/>
      <c r="C141" s="161" t="s">
        <v>295</v>
      </c>
      <c r="D141" s="73"/>
      <c r="E141" s="73"/>
      <c r="F141" s="74"/>
      <c r="G141" s="74"/>
      <c r="H141" s="74"/>
      <c r="I141" s="73"/>
      <c r="J141" s="74"/>
      <c r="K141" s="74"/>
      <c r="L141" s="74"/>
      <c r="M141" s="143"/>
      <c r="N141" s="191"/>
      <c r="O141" s="74"/>
      <c r="P141" s="74"/>
      <c r="Q141" s="74"/>
      <c r="R141" s="191"/>
      <c r="S141" s="74"/>
      <c r="T141" s="74"/>
      <c r="U141" s="74"/>
      <c r="V141" s="22"/>
      <c r="W141" s="22"/>
      <c r="X141" s="52"/>
      <c r="Y141" s="22"/>
      <c r="Z141" s="22"/>
      <c r="AA141" s="22"/>
      <c r="AB141" s="22"/>
      <c r="AC141" s="22"/>
      <c r="AD141" s="22">
        <v>2523.4</v>
      </c>
      <c r="AE141" s="22"/>
      <c r="AF141" s="22">
        <v>2523.4</v>
      </c>
      <c r="AG141" s="22">
        <f t="shared" si="773"/>
        <v>100</v>
      </c>
      <c r="AH141" s="22"/>
      <c r="AI141" s="22"/>
      <c r="AJ141" s="52"/>
      <c r="AK141" s="22"/>
      <c r="AL141" s="22"/>
      <c r="AM141" s="22"/>
      <c r="AN141" s="22"/>
      <c r="AO141" s="22"/>
      <c r="AP141" s="22"/>
      <c r="AQ141" s="22"/>
      <c r="AR141" s="22">
        <v>1270.82</v>
      </c>
      <c r="AS141" s="22">
        <f t="shared" si="805"/>
        <v>0</v>
      </c>
      <c r="AT141" s="22">
        <v>1419.5</v>
      </c>
      <c r="AU141" s="22">
        <f t="shared" si="774"/>
        <v>111.6995325852599</v>
      </c>
      <c r="AV141" s="77"/>
      <c r="AW141" s="77"/>
      <c r="AX141" s="239"/>
      <c r="AY141" s="22">
        <f t="shared" si="775"/>
        <v>7.1469900000000006</v>
      </c>
      <c r="AZ141" s="22">
        <f>+'[9]Расчет производства тепл.эн.'!$EI$221/1000</f>
        <v>4.2380800000000001</v>
      </c>
      <c r="BA141" s="22">
        <f>+'[9]Расчет производства тепл.эн.'!$EI$222/1000</f>
        <v>2.0482800000000001</v>
      </c>
      <c r="BB141" s="22">
        <f>+('[9]Расчет производства тепл.эн.'!$EI$227+'[9]Расчет производства тепл.эн.'!$EI$226)/1000</f>
        <v>0.86063000000000001</v>
      </c>
      <c r="BC141" s="22">
        <v>2523.4</v>
      </c>
      <c r="BD141" s="22">
        <v>2629.38</v>
      </c>
      <c r="BE141" s="22">
        <f t="shared" si="776"/>
        <v>104.19988903859871</v>
      </c>
      <c r="BF141" s="22">
        <v>1419.5</v>
      </c>
      <c r="BG141" s="22">
        <v>1479.12</v>
      </c>
      <c r="BH141" s="22">
        <f t="shared" si="777"/>
        <v>104.20007044734061</v>
      </c>
      <c r="BI141" s="22">
        <f>+BD141-BG141/1.18</f>
        <v>1375.8884745762714</v>
      </c>
      <c r="BJ141" s="40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19"/>
      <c r="CX141" s="19"/>
      <c r="CY141" s="19"/>
      <c r="CZ141" s="19"/>
      <c r="DA141" s="21"/>
      <c r="DB141" s="21"/>
      <c r="DC141" s="79"/>
      <c r="DD141" s="79"/>
      <c r="DE141" s="79"/>
      <c r="DF141" s="79"/>
      <c r="DG141" s="79"/>
      <c r="DH141" s="51"/>
      <c r="DI141" s="39"/>
      <c r="DJ141" s="80"/>
      <c r="DK141" s="39"/>
      <c r="DL141" s="39"/>
      <c r="DM141" s="48"/>
      <c r="DN141" s="39"/>
      <c r="DO141" s="39"/>
      <c r="DP141" s="39"/>
      <c r="DQ141" s="39"/>
      <c r="DR141" s="39"/>
      <c r="DS141" s="39"/>
      <c r="DT141" s="39"/>
      <c r="DU141" s="19">
        <f t="shared" si="778"/>
        <v>5098.2665762711868</v>
      </c>
      <c r="DV141" s="40">
        <f t="shared" si="779"/>
        <v>5312.3973640677968</v>
      </c>
      <c r="DW141" s="40">
        <f t="shared" si="780"/>
        <v>11143.5227904</v>
      </c>
      <c r="DX141" s="21">
        <f>+('[1]тарифы (НВВ) население на 4,2%'!CL203+'[1]тарифы (НВВ) население на 4,2%'!CL204)/('[1]тарифы (НВВ) население на 4,2%'!CM203+'[1]тарифы (НВВ) население на 4,2%'!CM204)*100</f>
        <v>89.576232389527391</v>
      </c>
      <c r="DY141" s="21">
        <f t="shared" si="781"/>
        <v>47.672513118063151</v>
      </c>
      <c r="DZ141" s="19">
        <f t="shared" si="782"/>
        <v>18.034714566000002</v>
      </c>
      <c r="EA141" s="19">
        <f t="shared" si="783"/>
        <v>18.792152566200002</v>
      </c>
      <c r="EB141" s="48">
        <v>1859.47</v>
      </c>
      <c r="EC141" s="48">
        <f>+(BC141-BF141/1.18)*AZ141</f>
        <v>5596.1044957288141</v>
      </c>
      <c r="ED141" s="48">
        <f>+(BD141-BG141/1.18)*AZ141</f>
        <v>5831.1254263322044</v>
      </c>
      <c r="EE141" s="22">
        <v>2629.38</v>
      </c>
      <c r="EF141" s="22">
        <v>2813.43</v>
      </c>
      <c r="EG141" s="22">
        <f t="shared" si="786"/>
        <v>106.99974899025624</v>
      </c>
      <c r="EH141" s="22">
        <v>1479.12</v>
      </c>
      <c r="EI141" s="22">
        <v>1582.65</v>
      </c>
      <c r="EJ141" s="22">
        <f t="shared" si="787"/>
        <v>106.99943209475906</v>
      </c>
      <c r="EK141" s="40" t="s">
        <v>141</v>
      </c>
      <c r="EL141" s="19"/>
      <c r="EM141" s="19"/>
      <c r="EN141" s="40">
        <f t="shared" si="788"/>
        <v>0</v>
      </c>
      <c r="EO141" s="40">
        <f t="shared" si="789"/>
        <v>0</v>
      </c>
      <c r="EP141" s="40"/>
      <c r="EQ141" s="21">
        <f t="shared" si="790"/>
        <v>0</v>
      </c>
      <c r="ER141" s="21"/>
      <c r="ES141" s="21">
        <f t="shared" si="791"/>
        <v>0</v>
      </c>
      <c r="ET141" s="21"/>
      <c r="EU141" s="19">
        <f t="shared" si="792"/>
        <v>0</v>
      </c>
      <c r="EV141" s="21"/>
      <c r="EW141" s="39"/>
      <c r="EX141" s="39">
        <f t="shared" si="768"/>
        <v>18792.152566200002</v>
      </c>
      <c r="EY141" s="39">
        <f t="shared" si="731"/>
        <v>20107.556075700002</v>
      </c>
      <c r="EZ141" s="39"/>
      <c r="FA141" s="39"/>
      <c r="FB141" s="39"/>
      <c r="FC141" s="39"/>
      <c r="FD141" s="39"/>
      <c r="FE141" s="166"/>
      <c r="FF141" s="166"/>
      <c r="FG141" s="39"/>
      <c r="FH141" s="39"/>
      <c r="FI141" s="39"/>
      <c r="FJ141" s="19">
        <f t="shared" si="793"/>
        <v>0</v>
      </c>
      <c r="FK141" s="19">
        <f t="shared" si="794"/>
        <v>0</v>
      </c>
      <c r="FL141" s="19">
        <f t="shared" si="795"/>
        <v>0</v>
      </c>
      <c r="FM141" s="19">
        <v>43.628</v>
      </c>
      <c r="FN141" s="19">
        <v>35.173999999999999</v>
      </c>
      <c r="FO141" s="22">
        <v>3013.12</v>
      </c>
      <c r="FP141" s="22">
        <v>3083.47</v>
      </c>
      <c r="FQ141" s="22"/>
      <c r="FR141" s="22">
        <v>2036.91</v>
      </c>
      <c r="FS141" s="22">
        <v>2138.7600000000002</v>
      </c>
      <c r="FT141" s="22"/>
      <c r="FU141" s="240"/>
      <c r="FV141" s="19"/>
      <c r="FW141" s="19"/>
      <c r="FX141" s="19"/>
      <c r="FY141" s="19"/>
      <c r="FZ141" s="19"/>
      <c r="GA141" s="19"/>
      <c r="GB141" s="19"/>
      <c r="GC141" s="20"/>
      <c r="GD141" s="20"/>
      <c r="GE141" s="21"/>
      <c r="GF141" s="21"/>
      <c r="GG141" s="21"/>
      <c r="GH141" s="21"/>
      <c r="GI141" s="21"/>
      <c r="GJ141" s="21"/>
      <c r="GK141" s="21"/>
      <c r="GL141" s="21"/>
      <c r="GM141" s="19"/>
      <c r="GN141" s="19"/>
      <c r="GO141" s="22">
        <v>3083.47</v>
      </c>
      <c r="GP141" s="22">
        <v>3217.34</v>
      </c>
      <c r="GQ141" s="22"/>
      <c r="GR141" s="22">
        <v>2138.7600000000002</v>
      </c>
      <c r="GS141" s="22">
        <v>2220.0300000000002</v>
      </c>
      <c r="GT141" s="22"/>
      <c r="GU141" s="240"/>
      <c r="GV141" s="19"/>
      <c r="GW141" s="19"/>
      <c r="GX141" s="19"/>
      <c r="GY141" s="19"/>
      <c r="GZ141" s="23"/>
      <c r="HA141" s="22">
        <v>3083.47</v>
      </c>
      <c r="HB141" s="22">
        <v>3217.34</v>
      </c>
      <c r="HC141" s="22"/>
      <c r="HD141" s="22">
        <v>2220.0300000000002</v>
      </c>
      <c r="HE141" s="22">
        <v>2308.83</v>
      </c>
      <c r="HF141" s="22"/>
      <c r="HG141" s="240"/>
    </row>
    <row r="142" spans="2:215" ht="15.75">
      <c r="B142" s="10"/>
      <c r="C142" s="161" t="s">
        <v>296</v>
      </c>
      <c r="D142" s="73"/>
      <c r="E142" s="73"/>
      <c r="F142" s="74"/>
      <c r="G142" s="74"/>
      <c r="H142" s="74"/>
      <c r="I142" s="73"/>
      <c r="J142" s="74"/>
      <c r="K142" s="74"/>
      <c r="L142" s="74"/>
      <c r="M142" s="143"/>
      <c r="N142" s="191"/>
      <c r="O142" s="74"/>
      <c r="P142" s="74"/>
      <c r="Q142" s="74"/>
      <c r="R142" s="191"/>
      <c r="S142" s="74"/>
      <c r="T142" s="74"/>
      <c r="U142" s="74"/>
      <c r="V142" s="22"/>
      <c r="W142" s="22"/>
      <c r="X142" s="5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5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77"/>
      <c r="AW142" s="77"/>
      <c r="AX142" s="78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40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19"/>
      <c r="CX142" s="19"/>
      <c r="CY142" s="19"/>
      <c r="CZ142" s="19"/>
      <c r="DA142" s="21"/>
      <c r="DB142" s="21"/>
      <c r="DC142" s="79"/>
      <c r="DD142" s="79"/>
      <c r="DE142" s="79"/>
      <c r="DF142" s="79"/>
      <c r="DG142" s="79"/>
      <c r="DH142" s="51"/>
      <c r="DI142" s="39"/>
      <c r="DJ142" s="80"/>
      <c r="DK142" s="39"/>
      <c r="DL142" s="39"/>
      <c r="DM142" s="48"/>
      <c r="DN142" s="39"/>
      <c r="DO142" s="39"/>
      <c r="DP142" s="39"/>
      <c r="DQ142" s="39"/>
      <c r="DR142" s="39"/>
      <c r="DS142" s="39"/>
      <c r="DT142" s="39"/>
      <c r="DU142" s="19"/>
      <c r="DV142" s="40"/>
      <c r="DW142" s="40"/>
      <c r="DX142" s="21"/>
      <c r="DY142" s="21"/>
      <c r="DZ142" s="19"/>
      <c r="EA142" s="19"/>
      <c r="EB142" s="48"/>
      <c r="EC142" s="48"/>
      <c r="ED142" s="48"/>
      <c r="EE142" s="22"/>
      <c r="EF142" s="22"/>
      <c r="EG142" s="22"/>
      <c r="EH142" s="22"/>
      <c r="EI142" s="22"/>
      <c r="EJ142" s="22"/>
      <c r="EK142" s="40"/>
      <c r="EL142" s="19"/>
      <c r="EM142" s="19"/>
      <c r="EN142" s="40"/>
      <c r="EO142" s="40"/>
      <c r="EP142" s="40"/>
      <c r="EQ142" s="21"/>
      <c r="ER142" s="21"/>
      <c r="ES142" s="21"/>
      <c r="ET142" s="21"/>
      <c r="EU142" s="19"/>
      <c r="EV142" s="21"/>
      <c r="EW142" s="39"/>
      <c r="EX142" s="39"/>
      <c r="EY142" s="39"/>
      <c r="EZ142" s="39"/>
      <c r="FA142" s="39"/>
      <c r="FB142" s="39"/>
      <c r="FC142" s="39"/>
      <c r="FD142" s="39"/>
      <c r="FE142" s="166"/>
      <c r="FF142" s="166"/>
      <c r="FG142" s="39"/>
      <c r="FH142" s="39"/>
      <c r="FI142" s="39"/>
      <c r="FJ142" s="19"/>
      <c r="FK142" s="19"/>
      <c r="FL142" s="19"/>
      <c r="FM142" s="19">
        <v>6.1970000000000001</v>
      </c>
      <c r="FN142" s="19">
        <v>4.3913000000000002</v>
      </c>
      <c r="FO142" s="22">
        <v>2123.46</v>
      </c>
      <c r="FP142" s="22">
        <v>2173.16</v>
      </c>
      <c r="FQ142" s="22"/>
      <c r="FR142" s="22">
        <v>2036.91</v>
      </c>
      <c r="FS142" s="22">
        <v>2138.7600000000002</v>
      </c>
      <c r="FT142" s="22"/>
      <c r="FU142" s="240"/>
      <c r="FV142" s="19"/>
      <c r="FW142" s="19"/>
      <c r="FX142" s="19"/>
      <c r="FY142" s="19"/>
      <c r="FZ142" s="19"/>
      <c r="GA142" s="19"/>
      <c r="GB142" s="19"/>
      <c r="GC142" s="20"/>
      <c r="GD142" s="20"/>
      <c r="GE142" s="21"/>
      <c r="GF142" s="21"/>
      <c r="GG142" s="21"/>
      <c r="GH142" s="21"/>
      <c r="GI142" s="21"/>
      <c r="GJ142" s="21"/>
      <c r="GK142" s="21"/>
      <c r="GL142" s="21"/>
      <c r="GM142" s="19"/>
      <c r="GN142" s="19"/>
      <c r="GO142" s="22">
        <v>2173.16</v>
      </c>
      <c r="GP142" s="22">
        <v>2277.92</v>
      </c>
      <c r="GQ142" s="22"/>
      <c r="GR142" s="22">
        <v>2138.7600000000002</v>
      </c>
      <c r="GS142" s="22">
        <v>2220.0300000000002</v>
      </c>
      <c r="GT142" s="22"/>
      <c r="GU142" s="240"/>
      <c r="GV142" s="19"/>
      <c r="GW142" s="19"/>
      <c r="GX142" s="19"/>
      <c r="GY142" s="19"/>
      <c r="GZ142" s="23"/>
      <c r="HA142" s="22">
        <v>2277.92</v>
      </c>
      <c r="HB142" s="22">
        <v>2370</v>
      </c>
      <c r="HC142" s="22"/>
      <c r="HD142" s="22">
        <v>2220.0300000000002</v>
      </c>
      <c r="HE142" s="22">
        <v>2308.83</v>
      </c>
      <c r="HF142" s="22"/>
      <c r="HG142" s="240"/>
    </row>
    <row r="143" spans="2:215" ht="15.75">
      <c r="B143" s="10"/>
      <c r="C143" s="161" t="s">
        <v>608</v>
      </c>
      <c r="D143" s="73"/>
      <c r="E143" s="73"/>
      <c r="F143" s="74"/>
      <c r="G143" s="74"/>
      <c r="H143" s="74"/>
      <c r="I143" s="73"/>
      <c r="J143" s="74"/>
      <c r="K143" s="74"/>
      <c r="L143" s="74"/>
      <c r="M143" s="143"/>
      <c r="N143" s="191"/>
      <c r="O143" s="74"/>
      <c r="P143" s="74"/>
      <c r="Q143" s="74"/>
      <c r="R143" s="191"/>
      <c r="S143" s="74"/>
      <c r="T143" s="74"/>
      <c r="U143" s="74"/>
      <c r="V143" s="22"/>
      <c r="W143" s="22"/>
      <c r="X143" s="5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5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77"/>
      <c r="AW143" s="77"/>
      <c r="AX143" s="78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40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19"/>
      <c r="CX143" s="19"/>
      <c r="CY143" s="19"/>
      <c r="CZ143" s="19"/>
      <c r="DA143" s="21"/>
      <c r="DB143" s="21"/>
      <c r="DC143" s="79"/>
      <c r="DD143" s="79"/>
      <c r="DE143" s="79"/>
      <c r="DF143" s="79"/>
      <c r="DG143" s="79"/>
      <c r="DH143" s="51"/>
      <c r="DI143" s="39"/>
      <c r="DJ143" s="80"/>
      <c r="DK143" s="39"/>
      <c r="DL143" s="39"/>
      <c r="DM143" s="48"/>
      <c r="DN143" s="39"/>
      <c r="DO143" s="39"/>
      <c r="DP143" s="39"/>
      <c r="DQ143" s="39"/>
      <c r="DR143" s="39"/>
      <c r="DS143" s="39"/>
      <c r="DT143" s="39"/>
      <c r="DU143" s="19"/>
      <c r="DV143" s="40"/>
      <c r="DW143" s="40"/>
      <c r="DX143" s="21"/>
      <c r="DY143" s="21"/>
      <c r="DZ143" s="19"/>
      <c r="EA143" s="19"/>
      <c r="EB143" s="48"/>
      <c r="EC143" s="48"/>
      <c r="ED143" s="48"/>
      <c r="EE143" s="22"/>
      <c r="EF143" s="22"/>
      <c r="EG143" s="22"/>
      <c r="EH143" s="22"/>
      <c r="EI143" s="22"/>
      <c r="EJ143" s="22"/>
      <c r="EK143" s="40"/>
      <c r="EL143" s="19"/>
      <c r="EM143" s="19"/>
      <c r="EN143" s="40"/>
      <c r="EO143" s="40"/>
      <c r="EP143" s="40"/>
      <c r="EQ143" s="21"/>
      <c r="ER143" s="21"/>
      <c r="ES143" s="21"/>
      <c r="ET143" s="21"/>
      <c r="EU143" s="19"/>
      <c r="EV143" s="21"/>
      <c r="EW143" s="39"/>
      <c r="EX143" s="39"/>
      <c r="EY143" s="39"/>
      <c r="EZ143" s="39"/>
      <c r="FA143" s="39"/>
      <c r="FB143" s="39"/>
      <c r="FC143" s="39"/>
      <c r="FD143" s="39"/>
      <c r="FE143" s="166"/>
      <c r="FF143" s="166"/>
      <c r="FG143" s="39"/>
      <c r="FH143" s="39"/>
      <c r="FI143" s="39"/>
      <c r="FJ143" s="19"/>
      <c r="FK143" s="19"/>
      <c r="FL143" s="19"/>
      <c r="FM143" s="19"/>
      <c r="FN143" s="19"/>
      <c r="FO143" s="22">
        <v>1771.74</v>
      </c>
      <c r="FP143" s="22">
        <v>1819.58</v>
      </c>
      <c r="FQ143" s="22"/>
      <c r="FR143" s="22">
        <v>1922.25</v>
      </c>
      <c r="FS143" s="22">
        <v>1974.15</v>
      </c>
      <c r="FT143" s="22"/>
      <c r="FU143" s="43" t="s">
        <v>629</v>
      </c>
      <c r="FV143" s="19"/>
      <c r="FW143" s="19"/>
      <c r="FX143" s="19"/>
      <c r="FY143" s="19"/>
      <c r="FZ143" s="19"/>
      <c r="GA143" s="19"/>
      <c r="GB143" s="19"/>
      <c r="GC143" s="20"/>
      <c r="GD143" s="20"/>
      <c r="GE143" s="21"/>
      <c r="GF143" s="21"/>
      <c r="GG143" s="21"/>
      <c r="GH143" s="21"/>
      <c r="GI143" s="21"/>
      <c r="GJ143" s="21"/>
      <c r="GK143" s="21"/>
      <c r="GL143" s="21"/>
      <c r="GM143" s="19"/>
      <c r="GN143" s="19"/>
      <c r="GO143" s="22"/>
      <c r="GP143" s="22"/>
      <c r="GQ143" s="22"/>
      <c r="GR143" s="22" t="s">
        <v>633</v>
      </c>
      <c r="GS143" s="22" t="s">
        <v>633</v>
      </c>
      <c r="GT143" s="22"/>
      <c r="GU143" s="43" t="s">
        <v>633</v>
      </c>
      <c r="GV143" s="19"/>
      <c r="GW143" s="19"/>
      <c r="GX143" s="19"/>
      <c r="GY143" s="19"/>
      <c r="GZ143" s="23"/>
      <c r="HA143" s="22" t="s">
        <v>633</v>
      </c>
      <c r="HB143" s="22" t="s">
        <v>633</v>
      </c>
      <c r="HC143" s="22"/>
      <c r="HD143" s="22" t="s">
        <v>633</v>
      </c>
      <c r="HE143" s="22" t="s">
        <v>633</v>
      </c>
      <c r="HF143" s="22"/>
      <c r="HG143" s="233" t="s">
        <v>633</v>
      </c>
    </row>
    <row r="144" spans="2:215" ht="15.75">
      <c r="B144" s="10"/>
      <c r="C144" s="184" t="s">
        <v>297</v>
      </c>
      <c r="D144" s="73"/>
      <c r="E144" s="73"/>
      <c r="F144" s="74"/>
      <c r="G144" s="74"/>
      <c r="H144" s="74"/>
      <c r="I144" s="73"/>
      <c r="J144" s="74"/>
      <c r="K144" s="74"/>
      <c r="L144" s="74"/>
      <c r="M144" s="143"/>
      <c r="N144" s="191"/>
      <c r="O144" s="74"/>
      <c r="P144" s="74"/>
      <c r="Q144" s="74"/>
      <c r="R144" s="191"/>
      <c r="S144" s="74"/>
      <c r="T144" s="74"/>
      <c r="U144" s="74"/>
      <c r="V144" s="22"/>
      <c r="W144" s="22"/>
      <c r="X144" s="52"/>
      <c r="Y144" s="22"/>
      <c r="Z144" s="22"/>
      <c r="AA144" s="22"/>
      <c r="AB144" s="22"/>
      <c r="AC144" s="22"/>
      <c r="AD144" s="22">
        <v>207.37</v>
      </c>
      <c r="AE144" s="22">
        <f t="shared" ref="AE144:AE146" si="806">+IF(AC144=0,,AF144/AC144*100)</f>
        <v>0</v>
      </c>
      <c r="AF144" s="22">
        <v>207.37</v>
      </c>
      <c r="AG144" s="22">
        <f t="shared" si="773"/>
        <v>100</v>
      </c>
      <c r="AH144" s="22"/>
      <c r="AI144" s="22"/>
      <c r="AJ144" s="52"/>
      <c r="AK144" s="22"/>
      <c r="AL144" s="22"/>
      <c r="AM144" s="22"/>
      <c r="AN144" s="22"/>
      <c r="AO144" s="22"/>
      <c r="AP144" s="22"/>
      <c r="AQ144" s="22"/>
      <c r="AR144" s="22">
        <v>133.94999999999999</v>
      </c>
      <c r="AS144" s="22">
        <f t="shared" si="805"/>
        <v>0</v>
      </c>
      <c r="AT144" s="22">
        <v>149.27000000000001</v>
      </c>
      <c r="AU144" s="22">
        <f t="shared" si="774"/>
        <v>111.43710339678987</v>
      </c>
      <c r="AV144" s="77"/>
      <c r="AW144" s="77"/>
      <c r="AX144" s="239" t="s">
        <v>156</v>
      </c>
      <c r="AY144" s="22">
        <f t="shared" si="775"/>
        <v>0</v>
      </c>
      <c r="AZ144" s="22"/>
      <c r="BA144" s="22"/>
      <c r="BB144" s="22"/>
      <c r="BC144" s="22"/>
      <c r="BD144" s="22"/>
      <c r="BE144" s="22">
        <f t="shared" si="776"/>
        <v>0</v>
      </c>
      <c r="BF144" s="22">
        <v>149.27000000000001</v>
      </c>
      <c r="BG144" s="22">
        <v>155.53</v>
      </c>
      <c r="BH144" s="22">
        <f t="shared" si="777"/>
        <v>104.19374288202586</v>
      </c>
      <c r="BI144" s="22"/>
      <c r="BJ144" s="240" t="s">
        <v>157</v>
      </c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19"/>
      <c r="CX144" s="19"/>
      <c r="CY144" s="19"/>
      <c r="CZ144" s="19"/>
      <c r="DA144" s="21"/>
      <c r="DB144" s="21"/>
      <c r="DC144" s="79"/>
      <c r="DD144" s="79"/>
      <c r="DE144" s="79"/>
      <c r="DF144" s="79"/>
      <c r="DG144" s="79"/>
      <c r="DH144" s="51"/>
      <c r="DI144" s="39"/>
      <c r="DJ144" s="80"/>
      <c r="DK144" s="39"/>
      <c r="DL144" s="39"/>
      <c r="DM144" s="48"/>
      <c r="DN144" s="39"/>
      <c r="DO144" s="39"/>
      <c r="DP144" s="39"/>
      <c r="DQ144" s="39"/>
      <c r="DR144" s="39"/>
      <c r="DS144" s="39"/>
      <c r="DT144" s="39"/>
      <c r="DU144" s="19">
        <f t="shared" si="778"/>
        <v>0</v>
      </c>
      <c r="DV144" s="40">
        <f>+'[1]тарифы (НВВ) население на 4,2%'!CL206*1.042</f>
        <v>27712.25490006158</v>
      </c>
      <c r="DW144" s="40">
        <f>+'[1]тарифы (НВВ) население на 4,2%'!CM206*1.042</f>
        <v>43440.632205151393</v>
      </c>
      <c r="DX144" s="46"/>
      <c r="DY144" s="21">
        <f t="shared" si="781"/>
        <v>63.793396857551564</v>
      </c>
      <c r="DZ144" s="19">
        <f t="shared" si="782"/>
        <v>0</v>
      </c>
      <c r="EA144" s="19">
        <f t="shared" si="783"/>
        <v>0</v>
      </c>
      <c r="EB144" s="19"/>
      <c r="EC144" s="48">
        <f t="shared" si="784"/>
        <v>0</v>
      </c>
      <c r="ED144" s="48">
        <f t="shared" si="785"/>
        <v>0</v>
      </c>
      <c r="EE144" s="22">
        <v>216.08</v>
      </c>
      <c r="EF144" s="22">
        <v>230.83</v>
      </c>
      <c r="EG144" s="22">
        <f t="shared" si="786"/>
        <v>106.82617549055907</v>
      </c>
      <c r="EH144" s="22">
        <v>155.53</v>
      </c>
      <c r="EI144" s="22">
        <v>168.67</v>
      </c>
      <c r="EJ144" s="22">
        <f t="shared" si="787"/>
        <v>108.44853083006494</v>
      </c>
      <c r="EK144" s="240" t="s">
        <v>158</v>
      </c>
      <c r="EL144" s="19">
        <v>232.2</v>
      </c>
      <c r="EM144" s="19">
        <v>221.12224198360602</v>
      </c>
      <c r="EN144" s="40">
        <f t="shared" si="788"/>
        <v>31607.363182521036</v>
      </c>
      <c r="EO144" s="40">
        <f t="shared" si="789"/>
        <v>51041.64711707578</v>
      </c>
      <c r="EP144" s="40"/>
      <c r="EQ144" s="21">
        <f t="shared" si="790"/>
        <v>61.924653626522407</v>
      </c>
      <c r="ER144" s="21"/>
      <c r="ES144" s="21">
        <f t="shared" si="791"/>
        <v>50173.775999999998</v>
      </c>
      <c r="ET144" s="21"/>
      <c r="EU144" s="19">
        <f t="shared" si="792"/>
        <v>53598.726000000002</v>
      </c>
      <c r="EV144" s="21"/>
      <c r="EW144" s="39"/>
      <c r="EX144" s="39">
        <f t="shared" si="768"/>
        <v>0</v>
      </c>
      <c r="EY144" s="39">
        <f t="shared" si="731"/>
        <v>0</v>
      </c>
      <c r="EZ144" s="39"/>
      <c r="FA144" s="39"/>
      <c r="FB144" s="39"/>
      <c r="FC144" s="39"/>
      <c r="FD144" s="39"/>
      <c r="FE144" s="166"/>
      <c r="FF144" s="166"/>
      <c r="FG144" s="39"/>
      <c r="FH144" s="39"/>
      <c r="FI144" s="39"/>
      <c r="FJ144" s="19">
        <f t="shared" si="793"/>
        <v>18635.058203995352</v>
      </c>
      <c r="FK144" s="19">
        <f t="shared" si="794"/>
        <v>19434.28393455474</v>
      </c>
      <c r="FL144" s="19">
        <f t="shared" si="795"/>
        <v>38069.342138550091</v>
      </c>
      <c r="FM144" s="19">
        <v>190.98899</v>
      </c>
      <c r="FN144" s="19">
        <v>175.05699999999999</v>
      </c>
      <c r="FO144" s="22">
        <v>260.11</v>
      </c>
      <c r="FP144" s="22">
        <v>266.27</v>
      </c>
      <c r="FQ144" s="22"/>
      <c r="FR144" s="22">
        <v>223.52</v>
      </c>
      <c r="FS144" s="22">
        <v>232.46</v>
      </c>
      <c r="FT144" s="22"/>
      <c r="FU144" s="242" t="s">
        <v>631</v>
      </c>
      <c r="FV144" s="19"/>
      <c r="FW144" s="19"/>
      <c r="FX144" s="19"/>
      <c r="FY144" s="19"/>
      <c r="FZ144" s="19"/>
      <c r="GA144" s="19"/>
      <c r="GB144" s="19"/>
      <c r="GC144" s="20"/>
      <c r="GD144" s="20"/>
      <c r="GE144" s="21"/>
      <c r="GF144" s="21"/>
      <c r="GG144" s="21"/>
      <c r="GH144" s="21"/>
      <c r="GI144" s="21"/>
      <c r="GJ144" s="21"/>
      <c r="GK144" s="21"/>
      <c r="GL144" s="21"/>
      <c r="GM144" s="19"/>
      <c r="GN144" s="19"/>
      <c r="GO144" s="22">
        <v>266.27</v>
      </c>
      <c r="GP144" s="22">
        <v>276.39</v>
      </c>
      <c r="GQ144" s="22"/>
      <c r="GR144" s="22">
        <v>232.46</v>
      </c>
      <c r="GS144" s="22">
        <v>241.29</v>
      </c>
      <c r="GT144" s="22"/>
      <c r="GU144" s="242" t="s">
        <v>631</v>
      </c>
      <c r="GV144" s="19"/>
      <c r="GW144" s="19"/>
      <c r="GX144" s="19"/>
      <c r="GY144" s="19"/>
      <c r="GZ144" s="23"/>
      <c r="HA144" s="22">
        <v>276.39</v>
      </c>
      <c r="HB144" s="22">
        <v>287.45</v>
      </c>
      <c r="HC144" s="22"/>
      <c r="HD144" s="22">
        <v>241.29</v>
      </c>
      <c r="HE144" s="22">
        <v>250.95</v>
      </c>
      <c r="HF144" s="22"/>
      <c r="HG144" s="242" t="s">
        <v>631</v>
      </c>
    </row>
    <row r="145" spans="2:215" ht="15.75">
      <c r="B145" s="10"/>
      <c r="C145" s="184" t="s">
        <v>298</v>
      </c>
      <c r="D145" s="73"/>
      <c r="E145" s="73"/>
      <c r="F145" s="74"/>
      <c r="G145" s="74"/>
      <c r="H145" s="74"/>
      <c r="I145" s="73"/>
      <c r="J145" s="74"/>
      <c r="K145" s="74"/>
      <c r="L145" s="74"/>
      <c r="M145" s="143"/>
      <c r="N145" s="191"/>
      <c r="O145" s="74"/>
      <c r="P145" s="74"/>
      <c r="Q145" s="74"/>
      <c r="R145" s="191"/>
      <c r="S145" s="74"/>
      <c r="T145" s="74"/>
      <c r="U145" s="74"/>
      <c r="V145" s="22"/>
      <c r="W145" s="22"/>
      <c r="X145" s="52"/>
      <c r="Y145" s="22"/>
      <c r="Z145" s="22"/>
      <c r="AA145" s="22"/>
      <c r="AB145" s="22"/>
      <c r="AC145" s="22"/>
      <c r="AD145" s="22">
        <v>179.18</v>
      </c>
      <c r="AE145" s="22">
        <f t="shared" si="806"/>
        <v>0</v>
      </c>
      <c r="AF145" s="22">
        <v>179.18</v>
      </c>
      <c r="AG145" s="22">
        <f t="shared" si="773"/>
        <v>100</v>
      </c>
      <c r="AH145" s="22"/>
      <c r="AI145" s="22"/>
      <c r="AJ145" s="52"/>
      <c r="AK145" s="22"/>
      <c r="AL145" s="22"/>
      <c r="AM145" s="22"/>
      <c r="AN145" s="22"/>
      <c r="AO145" s="22"/>
      <c r="AP145" s="22"/>
      <c r="AQ145" s="22"/>
      <c r="AR145" s="22">
        <v>105.44</v>
      </c>
      <c r="AS145" s="22">
        <f t="shared" si="805"/>
        <v>0</v>
      </c>
      <c r="AT145" s="22">
        <v>117.55</v>
      </c>
      <c r="AU145" s="22">
        <f t="shared" si="774"/>
        <v>111.48520485584218</v>
      </c>
      <c r="AV145" s="77"/>
      <c r="AW145" s="77"/>
      <c r="AX145" s="239"/>
      <c r="AY145" s="22">
        <f t="shared" si="775"/>
        <v>0</v>
      </c>
      <c r="AZ145" s="22"/>
      <c r="BA145" s="22"/>
      <c r="BB145" s="22"/>
      <c r="BC145" s="22"/>
      <c r="BD145" s="22"/>
      <c r="BE145" s="22">
        <f t="shared" si="776"/>
        <v>0</v>
      </c>
      <c r="BF145" s="22">
        <v>117.55</v>
      </c>
      <c r="BG145" s="22">
        <v>122.48</v>
      </c>
      <c r="BH145" s="22">
        <f t="shared" si="777"/>
        <v>104.19396001701404</v>
      </c>
      <c r="BI145" s="22"/>
      <c r="BJ145" s="240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19"/>
      <c r="CX145" s="19"/>
      <c r="CY145" s="19"/>
      <c r="CZ145" s="19"/>
      <c r="DA145" s="21"/>
      <c r="DB145" s="21"/>
      <c r="DC145" s="79"/>
      <c r="DD145" s="79"/>
      <c r="DE145" s="79"/>
      <c r="DF145" s="79"/>
      <c r="DG145" s="79"/>
      <c r="DH145" s="51"/>
      <c r="DI145" s="39"/>
      <c r="DJ145" s="80"/>
      <c r="DK145" s="39"/>
      <c r="DL145" s="39"/>
      <c r="DM145" s="48"/>
      <c r="DN145" s="39"/>
      <c r="DO145" s="39"/>
      <c r="DP145" s="39"/>
      <c r="DQ145" s="39"/>
      <c r="DR145" s="39"/>
      <c r="DS145" s="39"/>
      <c r="DT145" s="39"/>
      <c r="DU145" s="19">
        <f t="shared" si="778"/>
        <v>0</v>
      </c>
      <c r="DV145" s="40">
        <f>+'[1]тарифы (НВВ) население на 4,2%'!CL208*1.042</f>
        <v>20701.41735464476</v>
      </c>
      <c r="DW145" s="40">
        <f>+'[1]тарифы (НВВ) население на 4,2%'!CM208*1.042</f>
        <v>30338.531159302252</v>
      </c>
      <c r="DX145" s="46"/>
      <c r="DY145" s="21">
        <f t="shared" si="781"/>
        <v>68.234738346247823</v>
      </c>
      <c r="DZ145" s="19">
        <f t="shared" si="782"/>
        <v>0</v>
      </c>
      <c r="EA145" s="19">
        <f t="shared" si="783"/>
        <v>0</v>
      </c>
      <c r="EB145" s="19"/>
      <c r="EC145" s="48">
        <f t="shared" si="784"/>
        <v>0</v>
      </c>
      <c r="ED145" s="48">
        <f t="shared" si="785"/>
        <v>0</v>
      </c>
      <c r="EE145" s="22">
        <v>186.71</v>
      </c>
      <c r="EF145" s="22">
        <v>200.04</v>
      </c>
      <c r="EG145" s="22">
        <f t="shared" si="786"/>
        <v>107.13941406459213</v>
      </c>
      <c r="EH145" s="22">
        <v>122.48</v>
      </c>
      <c r="EI145" s="22">
        <v>132.82</v>
      </c>
      <c r="EJ145" s="22">
        <f t="shared" si="787"/>
        <v>108.44219464402352</v>
      </c>
      <c r="EK145" s="240"/>
      <c r="EL145" s="19">
        <v>200.64</v>
      </c>
      <c r="EM145" s="19">
        <v>191.06790108350864</v>
      </c>
      <c r="EN145" s="40">
        <f t="shared" si="788"/>
        <v>21506.473408399677</v>
      </c>
      <c r="EO145" s="40">
        <f t="shared" si="789"/>
        <v>38221.22293274507</v>
      </c>
      <c r="EP145" s="40"/>
      <c r="EQ145" s="21">
        <f t="shared" si="790"/>
        <v>56.26840733548206</v>
      </c>
      <c r="ER145" s="21"/>
      <c r="ES145" s="21">
        <f t="shared" si="791"/>
        <v>37461.494399999996</v>
      </c>
      <c r="ET145" s="21"/>
      <c r="EU145" s="19">
        <f t="shared" si="792"/>
        <v>40136.025599999994</v>
      </c>
      <c r="EV145" s="21"/>
      <c r="EW145" s="39"/>
      <c r="EX145" s="39">
        <f t="shared" si="768"/>
        <v>0</v>
      </c>
      <c r="EY145" s="39">
        <f t="shared" si="731"/>
        <v>0</v>
      </c>
      <c r="EZ145" s="39"/>
      <c r="FA145" s="39"/>
      <c r="FB145" s="39"/>
      <c r="FC145" s="39"/>
      <c r="FD145" s="39"/>
      <c r="FE145" s="166"/>
      <c r="FF145" s="166"/>
      <c r="FG145" s="39"/>
      <c r="FH145" s="39"/>
      <c r="FI145" s="39"/>
      <c r="FJ145" s="19">
        <f t="shared" si="793"/>
        <v>15842.087366633985</v>
      </c>
      <c r="FK145" s="19">
        <f t="shared" si="794"/>
        <v>16714.749524345389</v>
      </c>
      <c r="FL145" s="19">
        <f t="shared" si="795"/>
        <v>32556.836890979372</v>
      </c>
      <c r="FM145" s="19">
        <v>170.84100000000001</v>
      </c>
      <c r="FN145" s="19">
        <v>168.01499999999999</v>
      </c>
      <c r="FO145" s="22">
        <v>220.12</v>
      </c>
      <c r="FP145" s="22">
        <v>225.16</v>
      </c>
      <c r="FQ145" s="22"/>
      <c r="FR145" s="22">
        <v>169.64</v>
      </c>
      <c r="FS145" s="22">
        <v>176.43</v>
      </c>
      <c r="FT145" s="22"/>
      <c r="FU145" s="242"/>
      <c r="FV145" s="19"/>
      <c r="FW145" s="19"/>
      <c r="FX145" s="19"/>
      <c r="FY145" s="19"/>
      <c r="FZ145" s="19"/>
      <c r="GA145" s="19"/>
      <c r="GB145" s="19"/>
      <c r="GC145" s="20"/>
      <c r="GD145" s="20"/>
      <c r="GE145" s="21"/>
      <c r="GF145" s="21"/>
      <c r="GG145" s="21"/>
      <c r="GH145" s="21"/>
      <c r="GI145" s="21"/>
      <c r="GJ145" s="21"/>
      <c r="GK145" s="21"/>
      <c r="GL145" s="21"/>
      <c r="GM145" s="19"/>
      <c r="GN145" s="19"/>
      <c r="GO145" s="22">
        <v>225.16</v>
      </c>
      <c r="GP145" s="22">
        <v>233.72</v>
      </c>
      <c r="GQ145" s="22"/>
      <c r="GR145" s="22">
        <v>176.43</v>
      </c>
      <c r="GS145" s="22">
        <v>183.13</v>
      </c>
      <c r="GT145" s="22"/>
      <c r="GU145" s="242"/>
      <c r="GV145" s="19"/>
      <c r="GW145" s="19"/>
      <c r="GX145" s="19"/>
      <c r="GY145" s="19"/>
      <c r="GZ145" s="23"/>
      <c r="HA145" s="22">
        <v>233.72</v>
      </c>
      <c r="HB145" s="22">
        <v>243.07</v>
      </c>
      <c r="HC145" s="22"/>
      <c r="HD145" s="22">
        <v>183.13</v>
      </c>
      <c r="HE145" s="22">
        <v>190.46</v>
      </c>
      <c r="HF145" s="22"/>
      <c r="HG145" s="242"/>
    </row>
    <row r="146" spans="2:215" ht="15.75">
      <c r="B146" s="10"/>
      <c r="C146" s="184" t="s">
        <v>609</v>
      </c>
      <c r="D146" s="73"/>
      <c r="E146" s="73"/>
      <c r="F146" s="74"/>
      <c r="G146" s="74"/>
      <c r="H146" s="74"/>
      <c r="I146" s="73"/>
      <c r="J146" s="74"/>
      <c r="K146" s="74"/>
      <c r="L146" s="74"/>
      <c r="M146" s="143"/>
      <c r="N146" s="191"/>
      <c r="O146" s="74"/>
      <c r="P146" s="74"/>
      <c r="Q146" s="74"/>
      <c r="R146" s="191"/>
      <c r="S146" s="74"/>
      <c r="T146" s="74"/>
      <c r="U146" s="74"/>
      <c r="V146" s="22"/>
      <c r="W146" s="22"/>
      <c r="X146" s="52"/>
      <c r="Y146" s="22"/>
      <c r="Z146" s="22"/>
      <c r="AA146" s="22"/>
      <c r="AB146" s="22"/>
      <c r="AC146" s="22"/>
      <c r="AD146" s="22">
        <v>179.18</v>
      </c>
      <c r="AE146" s="22">
        <f t="shared" si="806"/>
        <v>0</v>
      </c>
      <c r="AF146" s="22">
        <v>179.18</v>
      </c>
      <c r="AG146" s="22">
        <f t="shared" si="773"/>
        <v>100</v>
      </c>
      <c r="AH146" s="22"/>
      <c r="AI146" s="22"/>
      <c r="AJ146" s="52"/>
      <c r="AK146" s="22"/>
      <c r="AL146" s="22"/>
      <c r="AM146" s="22"/>
      <c r="AN146" s="22"/>
      <c r="AO146" s="22"/>
      <c r="AP146" s="22"/>
      <c r="AQ146" s="22"/>
      <c r="AR146" s="22">
        <v>92.35</v>
      </c>
      <c r="AS146" s="22">
        <f t="shared" si="805"/>
        <v>0</v>
      </c>
      <c r="AT146" s="22">
        <v>102.92</v>
      </c>
      <c r="AU146" s="22">
        <f t="shared" si="774"/>
        <v>111.44558743909043</v>
      </c>
      <c r="AV146" s="77"/>
      <c r="AW146" s="77"/>
      <c r="AX146" s="239"/>
      <c r="AY146" s="22">
        <f t="shared" si="775"/>
        <v>0</v>
      </c>
      <c r="AZ146" s="22"/>
      <c r="BA146" s="22"/>
      <c r="BB146" s="22"/>
      <c r="BC146" s="22"/>
      <c r="BD146" s="22"/>
      <c r="BE146" s="22">
        <f t="shared" si="776"/>
        <v>0</v>
      </c>
      <c r="BF146" s="22">
        <v>102.92</v>
      </c>
      <c r="BG146" s="22">
        <v>107.24</v>
      </c>
      <c r="BH146" s="22">
        <f t="shared" si="777"/>
        <v>104.19743490089388</v>
      </c>
      <c r="BI146" s="22"/>
      <c r="BJ146" s="240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19"/>
      <c r="CX146" s="19"/>
      <c r="CY146" s="19"/>
      <c r="CZ146" s="19"/>
      <c r="DA146" s="21"/>
      <c r="DB146" s="21"/>
      <c r="DC146" s="79"/>
      <c r="DD146" s="79"/>
      <c r="DE146" s="79"/>
      <c r="DF146" s="79"/>
      <c r="DG146" s="79"/>
      <c r="DH146" s="51"/>
      <c r="DI146" s="39"/>
      <c r="DJ146" s="80"/>
      <c r="DK146" s="39"/>
      <c r="DL146" s="39"/>
      <c r="DM146" s="48"/>
      <c r="DN146" s="39"/>
      <c r="DO146" s="39"/>
      <c r="DP146" s="39"/>
      <c r="DQ146" s="39"/>
      <c r="DR146" s="39"/>
      <c r="DS146" s="39"/>
      <c r="DT146" s="39"/>
      <c r="DU146" s="19">
        <f t="shared" si="778"/>
        <v>0</v>
      </c>
      <c r="DV146" s="40">
        <f>+'[1]тарифы (НВВ) население на 4,2%'!CL209*1.042</f>
        <v>1086.623572633257</v>
      </c>
      <c r="DW146" s="40">
        <f>+'[1]тарифы (НВВ) население на 4,2%'!CM209*1.042</f>
        <v>1721.9249290478981</v>
      </c>
      <c r="DX146" s="46"/>
      <c r="DY146" s="21">
        <f t="shared" si="781"/>
        <v>63.105165289295307</v>
      </c>
      <c r="DZ146" s="19">
        <f t="shared" si="782"/>
        <v>0</v>
      </c>
      <c r="EA146" s="19">
        <f t="shared" si="783"/>
        <v>0</v>
      </c>
      <c r="EB146" s="19"/>
      <c r="EC146" s="48">
        <f t="shared" si="784"/>
        <v>0</v>
      </c>
      <c r="ED146" s="48">
        <f t="shared" si="785"/>
        <v>0</v>
      </c>
      <c r="EE146" s="22">
        <v>186.71</v>
      </c>
      <c r="EF146" s="22">
        <v>200.04</v>
      </c>
      <c r="EG146" s="22">
        <f t="shared" si="786"/>
        <v>107.13941406459213</v>
      </c>
      <c r="EH146" s="22">
        <v>107.24</v>
      </c>
      <c r="EI146" s="22">
        <v>114.52</v>
      </c>
      <c r="EJ146" s="22">
        <f t="shared" si="787"/>
        <v>106.78851174934726</v>
      </c>
      <c r="EK146" s="240"/>
      <c r="EL146" s="19">
        <v>12.933999999999999</v>
      </c>
      <c r="EM146" s="19">
        <v>12.316946932885273</v>
      </c>
      <c r="EN146" s="40">
        <f t="shared" si="788"/>
        <v>1195.3701379271367</v>
      </c>
      <c r="EO146" s="40">
        <f t="shared" si="789"/>
        <v>2463.8820644543698</v>
      </c>
      <c r="EP146" s="40"/>
      <c r="EQ146" s="21">
        <f t="shared" si="790"/>
        <v>48.515720584696624</v>
      </c>
      <c r="ER146" s="21"/>
      <c r="ES146" s="21">
        <f t="shared" si="791"/>
        <v>2414.9071399999998</v>
      </c>
      <c r="ET146" s="21"/>
      <c r="EU146" s="19">
        <f t="shared" si="792"/>
        <v>2587.3173599999996</v>
      </c>
      <c r="EV146" s="21"/>
      <c r="EW146" s="39"/>
      <c r="EX146" s="39">
        <f t="shared" si="768"/>
        <v>0</v>
      </c>
      <c r="EY146" s="39">
        <f t="shared" si="731"/>
        <v>0</v>
      </c>
      <c r="EZ146" s="39"/>
      <c r="FA146" s="39"/>
      <c r="FB146" s="39"/>
      <c r="FC146" s="39"/>
      <c r="FD146" s="39"/>
      <c r="FE146" s="166"/>
      <c r="FF146" s="166"/>
      <c r="FG146" s="39"/>
      <c r="FH146" s="39"/>
      <c r="FI146" s="39"/>
      <c r="FJ146" s="19">
        <f t="shared" si="793"/>
        <v>1180.3163236334021</v>
      </c>
      <c r="FK146" s="19">
        <f t="shared" si="794"/>
        <v>1268.5119265272331</v>
      </c>
      <c r="FL146" s="19">
        <f t="shared" si="795"/>
        <v>2448.8282501606354</v>
      </c>
      <c r="FM146" s="19">
        <v>11.241</v>
      </c>
      <c r="FN146" s="19">
        <v>10.695</v>
      </c>
      <c r="FO146" s="22">
        <v>220.12</v>
      </c>
      <c r="FP146" s="22">
        <v>225.05</v>
      </c>
      <c r="FQ146" s="22"/>
      <c r="FR146" s="22">
        <v>154.74</v>
      </c>
      <c r="FS146" s="22">
        <v>158.91999999999999</v>
      </c>
      <c r="FT146" s="22"/>
      <c r="FU146" s="242"/>
      <c r="FV146" s="19"/>
      <c r="FW146" s="19"/>
      <c r="FX146" s="19"/>
      <c r="FY146" s="19"/>
      <c r="FZ146" s="19"/>
      <c r="GA146" s="19"/>
      <c r="GB146" s="19"/>
      <c r="GC146" s="20"/>
      <c r="GD146" s="20"/>
      <c r="GE146" s="21"/>
      <c r="GF146" s="21"/>
      <c r="GG146" s="21"/>
      <c r="GH146" s="21"/>
      <c r="GI146" s="21"/>
      <c r="GJ146" s="21"/>
      <c r="GK146" s="21"/>
      <c r="GL146" s="21"/>
      <c r="GM146" s="19"/>
      <c r="GN146" s="19"/>
      <c r="GO146" s="22">
        <v>225.05</v>
      </c>
      <c r="GP146" s="22">
        <v>233.57</v>
      </c>
      <c r="GQ146" s="22"/>
      <c r="GR146" s="22">
        <v>158.91999999999999</v>
      </c>
      <c r="GS146" s="22">
        <v>164.96</v>
      </c>
      <c r="GT146" s="22"/>
      <c r="GU146" s="242"/>
      <c r="GV146" s="19"/>
      <c r="GW146" s="19"/>
      <c r="GX146" s="19"/>
      <c r="GY146" s="19"/>
      <c r="GZ146" s="23"/>
      <c r="HA146" s="22">
        <v>233.57</v>
      </c>
      <c r="HB146" s="22">
        <v>242.92</v>
      </c>
      <c r="HC146" s="22"/>
      <c r="HD146" s="22">
        <v>164.96</v>
      </c>
      <c r="HE146" s="22">
        <v>171.56</v>
      </c>
      <c r="HF146" s="22"/>
      <c r="HG146" s="242"/>
    </row>
    <row r="147" spans="2:215" ht="15.75">
      <c r="B147" s="10"/>
      <c r="C147" s="184" t="s">
        <v>299</v>
      </c>
      <c r="D147" s="73"/>
      <c r="E147" s="73"/>
      <c r="F147" s="74"/>
      <c r="G147" s="74"/>
      <c r="H147" s="74"/>
      <c r="I147" s="73"/>
      <c r="J147" s="74"/>
      <c r="K147" s="74"/>
      <c r="L147" s="74"/>
      <c r="M147" s="143"/>
      <c r="N147" s="191"/>
      <c r="O147" s="74"/>
      <c r="P147" s="74"/>
      <c r="Q147" s="74"/>
      <c r="R147" s="191"/>
      <c r="S147" s="74"/>
      <c r="T147" s="74"/>
      <c r="U147" s="74"/>
      <c r="V147" s="22"/>
      <c r="W147" s="22"/>
      <c r="X147" s="5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5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77"/>
      <c r="AW147" s="77"/>
      <c r="AX147" s="78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43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19"/>
      <c r="CX147" s="19"/>
      <c r="CY147" s="19"/>
      <c r="CZ147" s="19"/>
      <c r="DA147" s="21"/>
      <c r="DB147" s="21"/>
      <c r="DC147" s="79"/>
      <c r="DD147" s="79"/>
      <c r="DE147" s="79"/>
      <c r="DF147" s="79"/>
      <c r="DG147" s="79"/>
      <c r="DH147" s="51"/>
      <c r="DI147" s="39"/>
      <c r="DJ147" s="80"/>
      <c r="DK147" s="39"/>
      <c r="DL147" s="39"/>
      <c r="DM147" s="48"/>
      <c r="DN147" s="39"/>
      <c r="DO147" s="39"/>
      <c r="DP147" s="39"/>
      <c r="DQ147" s="39"/>
      <c r="DR147" s="39"/>
      <c r="DS147" s="39"/>
      <c r="DT147" s="39"/>
      <c r="DU147" s="19"/>
      <c r="DV147" s="40"/>
      <c r="DW147" s="40"/>
      <c r="DX147" s="46"/>
      <c r="DY147" s="21"/>
      <c r="DZ147" s="19"/>
      <c r="EA147" s="19"/>
      <c r="EB147" s="19"/>
      <c r="EC147" s="48"/>
      <c r="ED147" s="48"/>
      <c r="EE147" s="22"/>
      <c r="EF147" s="22"/>
      <c r="EG147" s="22"/>
      <c r="EH147" s="22"/>
      <c r="EI147" s="22"/>
      <c r="EJ147" s="22"/>
      <c r="EK147" s="43"/>
      <c r="EL147" s="19"/>
      <c r="EM147" s="19"/>
      <c r="EN147" s="40"/>
      <c r="EO147" s="40"/>
      <c r="EP147" s="40"/>
      <c r="EQ147" s="21"/>
      <c r="ER147" s="21"/>
      <c r="ES147" s="21"/>
      <c r="ET147" s="21"/>
      <c r="EU147" s="19"/>
      <c r="EV147" s="21"/>
      <c r="EW147" s="39"/>
      <c r="EX147" s="39"/>
      <c r="EY147" s="39"/>
      <c r="EZ147" s="39"/>
      <c r="FA147" s="39"/>
      <c r="FB147" s="39"/>
      <c r="FC147" s="39"/>
      <c r="FD147" s="39"/>
      <c r="FE147" s="166"/>
      <c r="FF147" s="166"/>
      <c r="FG147" s="39"/>
      <c r="FH147" s="39"/>
      <c r="FI147" s="39"/>
      <c r="FJ147" s="19"/>
      <c r="FK147" s="19"/>
      <c r="FL147" s="19"/>
      <c r="FM147" s="19">
        <v>14.1035</v>
      </c>
      <c r="FN147" s="19">
        <v>11.727819999999999</v>
      </c>
      <c r="FO147" s="22">
        <v>225.39</v>
      </c>
      <c r="FP147" s="22">
        <v>230.96</v>
      </c>
      <c r="FQ147" s="22"/>
      <c r="FR147" s="22">
        <v>187.53</v>
      </c>
      <c r="FS147" s="22">
        <v>195.03</v>
      </c>
      <c r="FT147" s="22"/>
      <c r="FU147" s="43" t="s">
        <v>714</v>
      </c>
      <c r="FV147" s="19"/>
      <c r="FW147" s="19"/>
      <c r="FX147" s="19"/>
      <c r="FY147" s="19"/>
      <c r="FZ147" s="19"/>
      <c r="GA147" s="19"/>
      <c r="GB147" s="19"/>
      <c r="GC147" s="20"/>
      <c r="GD147" s="20"/>
      <c r="GE147" s="21"/>
      <c r="GF147" s="21"/>
      <c r="GG147" s="21"/>
      <c r="GH147" s="21"/>
      <c r="GI147" s="21"/>
      <c r="GJ147" s="21"/>
      <c r="GK147" s="21"/>
      <c r="GL147" s="21"/>
      <c r="GM147" s="19"/>
      <c r="GN147" s="19"/>
      <c r="GO147" s="22">
        <v>230.96</v>
      </c>
      <c r="GP147" s="22">
        <v>239.74</v>
      </c>
      <c r="GQ147" s="22"/>
      <c r="GR147" s="22">
        <v>195.03</v>
      </c>
      <c r="GS147" s="22">
        <v>202.44</v>
      </c>
      <c r="GT147" s="22"/>
      <c r="GU147" s="43" t="s">
        <v>714</v>
      </c>
      <c r="GV147" s="19"/>
      <c r="GW147" s="19"/>
      <c r="GX147" s="19"/>
      <c r="GY147" s="19"/>
      <c r="GZ147" s="23"/>
      <c r="HA147" s="22">
        <v>239.74</v>
      </c>
      <c r="HB147" s="22">
        <v>249.33</v>
      </c>
      <c r="HC147" s="22"/>
      <c r="HD147" s="22">
        <v>202.44</v>
      </c>
      <c r="HE147" s="22">
        <v>210.54</v>
      </c>
      <c r="HF147" s="22"/>
      <c r="HG147" s="233" t="s">
        <v>714</v>
      </c>
    </row>
    <row r="148" spans="2:215" ht="15.75">
      <c r="B148" s="10"/>
      <c r="C148" s="187" t="s">
        <v>579</v>
      </c>
      <c r="D148" s="82"/>
      <c r="E148" s="82"/>
      <c r="F148" s="74"/>
      <c r="G148" s="74"/>
      <c r="H148" s="74"/>
      <c r="I148" s="82"/>
      <c r="J148" s="74"/>
      <c r="K148" s="74"/>
      <c r="L148" s="74"/>
      <c r="M148" s="143"/>
      <c r="N148" s="46"/>
      <c r="O148" s="74"/>
      <c r="P148" s="74"/>
      <c r="Q148" s="74"/>
      <c r="R148" s="46"/>
      <c r="S148" s="74"/>
      <c r="T148" s="74"/>
      <c r="U148" s="74"/>
      <c r="V148" s="52"/>
      <c r="W148" s="52"/>
      <c r="X148" s="52"/>
      <c r="Y148" s="141"/>
      <c r="Z148" s="22"/>
      <c r="AA148" s="52"/>
      <c r="AB148" s="22"/>
      <c r="AC148" s="52"/>
      <c r="AD148" s="52"/>
      <c r="AE148" s="22"/>
      <c r="AF148" s="22"/>
      <c r="AG148" s="22"/>
      <c r="AH148" s="52"/>
      <c r="AI148" s="52"/>
      <c r="AJ148" s="52"/>
      <c r="AK148" s="52"/>
      <c r="AL148" s="22"/>
      <c r="AM148" s="52"/>
      <c r="AN148" s="22"/>
      <c r="AO148" s="22"/>
      <c r="AP148" s="22"/>
      <c r="AQ148" s="22"/>
      <c r="AR148" s="22"/>
      <c r="AS148" s="22"/>
      <c r="AT148" s="22"/>
      <c r="AU148" s="22"/>
      <c r="AV148" s="77"/>
      <c r="AW148" s="77"/>
      <c r="AX148" s="78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40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19"/>
      <c r="CX148" s="19"/>
      <c r="CY148" s="19"/>
      <c r="CZ148" s="19"/>
      <c r="DA148" s="21"/>
      <c r="DB148" s="21"/>
      <c r="DC148" s="79"/>
      <c r="DD148" s="79"/>
      <c r="DE148" s="79"/>
      <c r="DF148" s="79"/>
      <c r="DG148" s="79"/>
      <c r="DH148" s="51"/>
      <c r="DI148" s="39"/>
      <c r="DJ148" s="80"/>
      <c r="DK148" s="39"/>
      <c r="DL148" s="39"/>
      <c r="DM148" s="48"/>
      <c r="DN148" s="39"/>
      <c r="DO148" s="39"/>
      <c r="DP148" s="39"/>
      <c r="DQ148" s="39"/>
      <c r="DR148" s="39"/>
      <c r="DS148" s="39"/>
      <c r="DT148" s="39"/>
      <c r="DU148" s="19"/>
      <c r="DV148" s="40"/>
      <c r="DW148" s="40"/>
      <c r="DX148" s="21"/>
      <c r="DY148" s="21"/>
      <c r="DZ148" s="19"/>
      <c r="EA148" s="19"/>
      <c r="EB148" s="19"/>
      <c r="EC148" s="48"/>
      <c r="ED148" s="48"/>
      <c r="EE148" s="22"/>
      <c r="EF148" s="22"/>
      <c r="EG148" s="22"/>
      <c r="EH148" s="22"/>
      <c r="EI148" s="22"/>
      <c r="EJ148" s="22"/>
      <c r="EK148" s="40"/>
      <c r="EL148" s="19"/>
      <c r="EM148" s="19"/>
      <c r="EN148" s="40"/>
      <c r="EO148" s="40"/>
      <c r="EP148" s="40"/>
      <c r="EQ148" s="21"/>
      <c r="ER148" s="21"/>
      <c r="ES148" s="21"/>
      <c r="ET148" s="21"/>
      <c r="EU148" s="19"/>
      <c r="EV148" s="21"/>
      <c r="EW148" s="39"/>
      <c r="EX148" s="39"/>
      <c r="EY148" s="39"/>
      <c r="EZ148" s="39"/>
      <c r="FA148" s="39"/>
      <c r="FB148" s="39"/>
      <c r="FC148" s="39"/>
      <c r="FD148" s="39"/>
      <c r="FE148" s="39"/>
      <c r="FF148" s="39"/>
      <c r="FG148" s="39"/>
      <c r="FH148" s="39"/>
      <c r="FI148" s="39"/>
      <c r="FJ148" s="19"/>
      <c r="FK148" s="19"/>
      <c r="FL148" s="19"/>
      <c r="FM148" s="19"/>
      <c r="FN148" s="19"/>
      <c r="FO148" s="22"/>
      <c r="FP148" s="22"/>
      <c r="FQ148" s="22"/>
      <c r="FR148" s="22"/>
      <c r="FS148" s="22"/>
      <c r="FT148" s="22"/>
      <c r="FU148" s="40"/>
      <c r="FV148" s="19"/>
      <c r="FW148" s="19"/>
      <c r="FX148" s="19"/>
      <c r="FY148" s="19"/>
      <c r="FZ148" s="19"/>
      <c r="GA148" s="19"/>
      <c r="GB148" s="19"/>
      <c r="GC148" s="20"/>
      <c r="GD148" s="20"/>
      <c r="GE148" s="21"/>
      <c r="GF148" s="21"/>
      <c r="GG148" s="21"/>
      <c r="GH148" s="21"/>
      <c r="GI148" s="21"/>
      <c r="GJ148" s="21"/>
      <c r="GK148" s="21"/>
      <c r="GL148" s="21"/>
      <c r="GM148" s="19"/>
      <c r="GN148" s="19"/>
      <c r="GO148" s="22"/>
      <c r="GP148" s="22"/>
      <c r="GQ148" s="22"/>
      <c r="GR148" s="22"/>
      <c r="GS148" s="22"/>
      <c r="GT148" s="22"/>
      <c r="GU148" s="43"/>
      <c r="GV148" s="19"/>
      <c r="GW148" s="19"/>
      <c r="GX148" s="19"/>
      <c r="GY148" s="19"/>
      <c r="GZ148" s="23"/>
      <c r="HA148" s="138"/>
      <c r="HB148" s="138"/>
      <c r="HC148" s="138"/>
      <c r="HD148" s="138"/>
      <c r="HE148" s="138"/>
      <c r="HF148" s="22"/>
      <c r="HG148" s="233"/>
    </row>
    <row r="149" spans="2:215" ht="15.75">
      <c r="B149" s="10"/>
      <c r="C149" s="184" t="s">
        <v>322</v>
      </c>
      <c r="D149" s="82"/>
      <c r="E149" s="82"/>
      <c r="F149" s="74"/>
      <c r="G149" s="74"/>
      <c r="H149" s="74"/>
      <c r="I149" s="82"/>
      <c r="J149" s="74"/>
      <c r="K149" s="74"/>
      <c r="L149" s="74"/>
      <c r="M149" s="143"/>
      <c r="N149" s="46"/>
      <c r="O149" s="74"/>
      <c r="P149" s="74"/>
      <c r="Q149" s="74"/>
      <c r="R149" s="46"/>
      <c r="S149" s="74"/>
      <c r="T149" s="74"/>
      <c r="U149" s="74"/>
      <c r="V149" s="52"/>
      <c r="W149" s="52"/>
      <c r="X149" s="52"/>
      <c r="Y149" s="141"/>
      <c r="Z149" s="22"/>
      <c r="AA149" s="52"/>
      <c r="AB149" s="22"/>
      <c r="AC149" s="52"/>
      <c r="AD149" s="52"/>
      <c r="AE149" s="22"/>
      <c r="AF149" s="22"/>
      <c r="AG149" s="22"/>
      <c r="AH149" s="52"/>
      <c r="AI149" s="52"/>
      <c r="AJ149" s="52"/>
      <c r="AK149" s="52"/>
      <c r="AL149" s="22"/>
      <c r="AM149" s="52"/>
      <c r="AN149" s="22"/>
      <c r="AO149" s="22"/>
      <c r="AP149" s="22"/>
      <c r="AQ149" s="22"/>
      <c r="AR149" s="22"/>
      <c r="AS149" s="22"/>
      <c r="AT149" s="22"/>
      <c r="AU149" s="22"/>
      <c r="AV149" s="77"/>
      <c r="AW149" s="77"/>
      <c r="AX149" s="78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40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19"/>
      <c r="CX149" s="19"/>
      <c r="CY149" s="19"/>
      <c r="CZ149" s="19"/>
      <c r="DA149" s="21"/>
      <c r="DB149" s="21"/>
      <c r="DC149" s="79"/>
      <c r="DD149" s="79"/>
      <c r="DE149" s="79"/>
      <c r="DF149" s="79"/>
      <c r="DG149" s="79"/>
      <c r="DH149" s="51"/>
      <c r="DI149" s="39"/>
      <c r="DJ149" s="80"/>
      <c r="DK149" s="39"/>
      <c r="DL149" s="39"/>
      <c r="DM149" s="48"/>
      <c r="DN149" s="39"/>
      <c r="DO149" s="39"/>
      <c r="DP149" s="39"/>
      <c r="DQ149" s="39"/>
      <c r="DR149" s="39"/>
      <c r="DS149" s="39"/>
      <c r="DT149" s="39"/>
      <c r="DU149" s="19"/>
      <c r="DV149" s="40"/>
      <c r="DW149" s="40"/>
      <c r="DX149" s="21"/>
      <c r="DY149" s="21"/>
      <c r="DZ149" s="19"/>
      <c r="EA149" s="19"/>
      <c r="EB149" s="19"/>
      <c r="EC149" s="48"/>
      <c r="ED149" s="48"/>
      <c r="EE149" s="22"/>
      <c r="EF149" s="22"/>
      <c r="EG149" s="22"/>
      <c r="EH149" s="22"/>
      <c r="EI149" s="22"/>
      <c r="EJ149" s="22"/>
      <c r="EK149" s="40"/>
      <c r="EL149" s="19"/>
      <c r="EM149" s="19"/>
      <c r="EN149" s="40"/>
      <c r="EO149" s="40"/>
      <c r="EP149" s="40"/>
      <c r="EQ149" s="21"/>
      <c r="ER149" s="21"/>
      <c r="ES149" s="21"/>
      <c r="ET149" s="21"/>
      <c r="EU149" s="19"/>
      <c r="EV149" s="21"/>
      <c r="EW149" s="39"/>
      <c r="EX149" s="39"/>
      <c r="EY149" s="39"/>
      <c r="EZ149" s="39"/>
      <c r="FA149" s="39"/>
      <c r="FB149" s="39"/>
      <c r="FC149" s="39"/>
      <c r="FD149" s="39"/>
      <c r="FE149" s="39"/>
      <c r="FF149" s="39"/>
      <c r="FG149" s="39"/>
      <c r="FH149" s="39"/>
      <c r="FI149" s="39"/>
      <c r="FJ149" s="19"/>
      <c r="FK149" s="19"/>
      <c r="FL149" s="19"/>
      <c r="FM149" s="19"/>
      <c r="FN149" s="19"/>
      <c r="FO149" s="22">
        <v>119.69</v>
      </c>
      <c r="FP149" s="22">
        <v>122.76</v>
      </c>
      <c r="FQ149" s="22"/>
      <c r="FR149" s="22">
        <v>52.26</v>
      </c>
      <c r="FS149" s="22">
        <v>54.87</v>
      </c>
      <c r="FT149" s="22"/>
      <c r="FU149" s="242" t="s">
        <v>672</v>
      </c>
      <c r="FV149" s="19"/>
      <c r="FW149" s="19"/>
      <c r="FX149" s="19"/>
      <c r="FY149" s="19"/>
      <c r="FZ149" s="19"/>
      <c r="GA149" s="19"/>
      <c r="GB149" s="19"/>
      <c r="GC149" s="20"/>
      <c r="GD149" s="20"/>
      <c r="GE149" s="21"/>
      <c r="GF149" s="21"/>
      <c r="GG149" s="21"/>
      <c r="GH149" s="21"/>
      <c r="GI149" s="21"/>
      <c r="GJ149" s="21"/>
      <c r="GK149" s="21"/>
      <c r="GL149" s="21"/>
      <c r="GM149" s="19"/>
      <c r="GN149" s="19"/>
      <c r="GO149" s="22">
        <v>122.56</v>
      </c>
      <c r="GP149" s="22">
        <v>126.99</v>
      </c>
      <c r="GQ149" s="22"/>
      <c r="GR149" s="22">
        <v>53.45</v>
      </c>
      <c r="GS149" s="22">
        <v>55.59</v>
      </c>
      <c r="GT149" s="22"/>
      <c r="GU149" s="242" t="s">
        <v>672</v>
      </c>
      <c r="GV149" s="19"/>
      <c r="GW149" s="19"/>
      <c r="GX149" s="19"/>
      <c r="GY149" s="19"/>
      <c r="GZ149" s="23"/>
      <c r="HA149" s="22" t="s">
        <v>633</v>
      </c>
      <c r="HB149" s="22" t="s">
        <v>633</v>
      </c>
      <c r="HC149" s="22"/>
      <c r="HD149" s="22" t="s">
        <v>633</v>
      </c>
      <c r="HE149" s="22" t="s">
        <v>633</v>
      </c>
      <c r="HF149" s="22"/>
      <c r="HG149" s="233" t="s">
        <v>633</v>
      </c>
    </row>
    <row r="150" spans="2:215" ht="15.75">
      <c r="B150" s="10"/>
      <c r="C150" s="184" t="s">
        <v>133</v>
      </c>
      <c r="D150" s="82"/>
      <c r="E150" s="82"/>
      <c r="F150" s="74"/>
      <c r="G150" s="74"/>
      <c r="H150" s="74"/>
      <c r="I150" s="82"/>
      <c r="J150" s="74"/>
      <c r="K150" s="74"/>
      <c r="L150" s="74"/>
      <c r="M150" s="143"/>
      <c r="N150" s="46"/>
      <c r="O150" s="74"/>
      <c r="P150" s="74"/>
      <c r="Q150" s="74"/>
      <c r="R150" s="46"/>
      <c r="S150" s="74"/>
      <c r="T150" s="74"/>
      <c r="U150" s="74"/>
      <c r="V150" s="52"/>
      <c r="W150" s="52"/>
      <c r="X150" s="52"/>
      <c r="Y150" s="141"/>
      <c r="Z150" s="22"/>
      <c r="AA150" s="52"/>
      <c r="AB150" s="22"/>
      <c r="AC150" s="52"/>
      <c r="AD150" s="52"/>
      <c r="AE150" s="22"/>
      <c r="AF150" s="22"/>
      <c r="AG150" s="22"/>
      <c r="AH150" s="52"/>
      <c r="AI150" s="52"/>
      <c r="AJ150" s="52"/>
      <c r="AK150" s="52"/>
      <c r="AL150" s="22"/>
      <c r="AM150" s="52"/>
      <c r="AN150" s="22"/>
      <c r="AO150" s="22"/>
      <c r="AP150" s="22"/>
      <c r="AQ150" s="22"/>
      <c r="AR150" s="22"/>
      <c r="AS150" s="22"/>
      <c r="AT150" s="22"/>
      <c r="AU150" s="22"/>
      <c r="AV150" s="77"/>
      <c r="AW150" s="77"/>
      <c r="AX150" s="78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40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19"/>
      <c r="CX150" s="19"/>
      <c r="CY150" s="19"/>
      <c r="CZ150" s="19"/>
      <c r="DA150" s="21"/>
      <c r="DB150" s="21"/>
      <c r="DC150" s="79"/>
      <c r="DD150" s="79"/>
      <c r="DE150" s="79"/>
      <c r="DF150" s="79"/>
      <c r="DG150" s="79"/>
      <c r="DH150" s="51"/>
      <c r="DI150" s="39"/>
      <c r="DJ150" s="80"/>
      <c r="DK150" s="39"/>
      <c r="DL150" s="39"/>
      <c r="DM150" s="48"/>
      <c r="DN150" s="39"/>
      <c r="DO150" s="39"/>
      <c r="DP150" s="39"/>
      <c r="DQ150" s="39"/>
      <c r="DR150" s="39"/>
      <c r="DS150" s="39"/>
      <c r="DT150" s="39"/>
      <c r="DU150" s="19"/>
      <c r="DV150" s="40"/>
      <c r="DW150" s="40"/>
      <c r="DX150" s="21"/>
      <c r="DY150" s="21"/>
      <c r="DZ150" s="19"/>
      <c r="EA150" s="19"/>
      <c r="EB150" s="19"/>
      <c r="EC150" s="48"/>
      <c r="ED150" s="48"/>
      <c r="EE150" s="22"/>
      <c r="EF150" s="22"/>
      <c r="EG150" s="22"/>
      <c r="EH150" s="22"/>
      <c r="EI150" s="22"/>
      <c r="EJ150" s="22"/>
      <c r="EK150" s="40"/>
      <c r="EL150" s="19"/>
      <c r="EM150" s="19"/>
      <c r="EN150" s="40"/>
      <c r="EO150" s="40"/>
      <c r="EP150" s="40"/>
      <c r="EQ150" s="21"/>
      <c r="ER150" s="21"/>
      <c r="ES150" s="21"/>
      <c r="ET150" s="21"/>
      <c r="EU150" s="19"/>
      <c r="EV150" s="21"/>
      <c r="EW150" s="39"/>
      <c r="EX150" s="39"/>
      <c r="EY150" s="39"/>
      <c r="EZ150" s="39"/>
      <c r="FA150" s="39"/>
      <c r="FB150" s="39"/>
      <c r="FC150" s="39"/>
      <c r="FD150" s="39"/>
      <c r="FE150" s="39"/>
      <c r="FF150" s="39"/>
      <c r="FG150" s="39"/>
      <c r="FH150" s="39"/>
      <c r="FI150" s="39"/>
      <c r="FJ150" s="19"/>
      <c r="FK150" s="19"/>
      <c r="FL150" s="19"/>
      <c r="FM150" s="19"/>
      <c r="FN150" s="19"/>
      <c r="FO150" s="22">
        <v>90.88</v>
      </c>
      <c r="FP150" s="22">
        <v>93.11</v>
      </c>
      <c r="FQ150" s="22"/>
      <c r="FR150" s="22">
        <v>33.159999999999997</v>
      </c>
      <c r="FS150" s="22">
        <v>34.82</v>
      </c>
      <c r="FT150" s="22"/>
      <c r="FU150" s="242"/>
      <c r="FV150" s="19"/>
      <c r="FW150" s="19"/>
      <c r="FX150" s="19"/>
      <c r="FY150" s="19"/>
      <c r="FZ150" s="19"/>
      <c r="GA150" s="19"/>
      <c r="GB150" s="19"/>
      <c r="GC150" s="20"/>
      <c r="GD150" s="20"/>
      <c r="GE150" s="21"/>
      <c r="GF150" s="21"/>
      <c r="GG150" s="21"/>
      <c r="GH150" s="21"/>
      <c r="GI150" s="21"/>
      <c r="GJ150" s="21"/>
      <c r="GK150" s="21"/>
      <c r="GL150" s="21"/>
      <c r="GM150" s="19"/>
      <c r="GN150" s="19"/>
      <c r="GO150" s="22">
        <v>95.24</v>
      </c>
      <c r="GP150" s="22">
        <v>96.38</v>
      </c>
      <c r="GQ150" s="22"/>
      <c r="GR150" s="22">
        <v>33.909999999999997</v>
      </c>
      <c r="GS150" s="22">
        <v>35.270000000000003</v>
      </c>
      <c r="GT150" s="22"/>
      <c r="GU150" s="242"/>
      <c r="GV150" s="19"/>
      <c r="GW150" s="19"/>
      <c r="GX150" s="19"/>
      <c r="GY150" s="19"/>
      <c r="GZ150" s="23"/>
      <c r="HA150" s="22" t="s">
        <v>633</v>
      </c>
      <c r="HB150" s="22" t="s">
        <v>633</v>
      </c>
      <c r="HC150" s="22"/>
      <c r="HD150" s="22" t="s">
        <v>633</v>
      </c>
      <c r="HE150" s="22" t="s">
        <v>633</v>
      </c>
      <c r="HF150" s="22"/>
      <c r="HG150" s="233" t="s">
        <v>633</v>
      </c>
    </row>
    <row r="151" spans="2:215" ht="15.75">
      <c r="B151" s="10"/>
      <c r="C151" s="184" t="s">
        <v>580</v>
      </c>
      <c r="D151" s="82"/>
      <c r="E151" s="82"/>
      <c r="F151" s="74"/>
      <c r="G151" s="74"/>
      <c r="H151" s="74"/>
      <c r="I151" s="82"/>
      <c r="J151" s="74"/>
      <c r="K151" s="74"/>
      <c r="L151" s="74"/>
      <c r="M151" s="143"/>
      <c r="N151" s="46"/>
      <c r="O151" s="74"/>
      <c r="P151" s="74"/>
      <c r="Q151" s="74"/>
      <c r="R151" s="46"/>
      <c r="S151" s="74"/>
      <c r="T151" s="74"/>
      <c r="U151" s="74"/>
      <c r="V151" s="52"/>
      <c r="W151" s="52"/>
      <c r="X151" s="52"/>
      <c r="Y151" s="141"/>
      <c r="Z151" s="22"/>
      <c r="AA151" s="52"/>
      <c r="AB151" s="22"/>
      <c r="AC151" s="52"/>
      <c r="AD151" s="52"/>
      <c r="AE151" s="22"/>
      <c r="AF151" s="22"/>
      <c r="AG151" s="22"/>
      <c r="AH151" s="52"/>
      <c r="AI151" s="52"/>
      <c r="AJ151" s="52"/>
      <c r="AK151" s="52"/>
      <c r="AL151" s="22"/>
      <c r="AM151" s="52"/>
      <c r="AN151" s="22"/>
      <c r="AO151" s="22"/>
      <c r="AP151" s="22"/>
      <c r="AQ151" s="22"/>
      <c r="AR151" s="22"/>
      <c r="AS151" s="22"/>
      <c r="AT151" s="22"/>
      <c r="AU151" s="22"/>
      <c r="AV151" s="77"/>
      <c r="AW151" s="77"/>
      <c r="AX151" s="78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40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19"/>
      <c r="CX151" s="19"/>
      <c r="CY151" s="19"/>
      <c r="CZ151" s="19"/>
      <c r="DA151" s="21"/>
      <c r="DB151" s="21"/>
      <c r="DC151" s="79"/>
      <c r="DD151" s="79"/>
      <c r="DE151" s="79"/>
      <c r="DF151" s="79"/>
      <c r="DG151" s="79"/>
      <c r="DH151" s="51"/>
      <c r="DI151" s="39"/>
      <c r="DJ151" s="80"/>
      <c r="DK151" s="39"/>
      <c r="DL151" s="39"/>
      <c r="DM151" s="48"/>
      <c r="DN151" s="39"/>
      <c r="DO151" s="39"/>
      <c r="DP151" s="39"/>
      <c r="DQ151" s="39"/>
      <c r="DR151" s="39"/>
      <c r="DS151" s="39"/>
      <c r="DT151" s="39"/>
      <c r="DU151" s="19"/>
      <c r="DV151" s="40"/>
      <c r="DW151" s="40"/>
      <c r="DX151" s="21"/>
      <c r="DY151" s="21"/>
      <c r="DZ151" s="19"/>
      <c r="EA151" s="19"/>
      <c r="EB151" s="19"/>
      <c r="EC151" s="48"/>
      <c r="ED151" s="48"/>
      <c r="EE151" s="22"/>
      <c r="EF151" s="22"/>
      <c r="EG151" s="22"/>
      <c r="EH151" s="22"/>
      <c r="EI151" s="22"/>
      <c r="EJ151" s="22"/>
      <c r="EK151" s="40"/>
      <c r="EL151" s="19"/>
      <c r="EM151" s="19"/>
      <c r="EN151" s="40"/>
      <c r="EO151" s="40"/>
      <c r="EP151" s="40"/>
      <c r="EQ151" s="21"/>
      <c r="ER151" s="21"/>
      <c r="ES151" s="21"/>
      <c r="ET151" s="21"/>
      <c r="EU151" s="19"/>
      <c r="EV151" s="21"/>
      <c r="EW151" s="39"/>
      <c r="EX151" s="39"/>
      <c r="EY151" s="39"/>
      <c r="EZ151" s="39"/>
      <c r="FA151" s="39"/>
      <c r="FB151" s="39"/>
      <c r="FC151" s="39"/>
      <c r="FD151" s="39"/>
      <c r="FE151" s="39"/>
      <c r="FF151" s="39"/>
      <c r="FG151" s="39"/>
      <c r="FH151" s="39"/>
      <c r="FI151" s="39"/>
      <c r="FJ151" s="19"/>
      <c r="FK151" s="19"/>
      <c r="FL151" s="19"/>
      <c r="FM151" s="19"/>
      <c r="FN151" s="19"/>
      <c r="FO151" s="22">
        <v>41.28</v>
      </c>
      <c r="FP151" s="22">
        <v>42.27</v>
      </c>
      <c r="FQ151" s="22"/>
      <c r="FR151" s="22">
        <v>17.97</v>
      </c>
      <c r="FS151" s="22">
        <v>18.87</v>
      </c>
      <c r="FT151" s="22"/>
      <c r="FU151" s="242"/>
      <c r="FV151" s="19"/>
      <c r="FW151" s="19"/>
      <c r="FX151" s="19"/>
      <c r="FY151" s="19"/>
      <c r="FZ151" s="19"/>
      <c r="GA151" s="19"/>
      <c r="GB151" s="19"/>
      <c r="GC151" s="20"/>
      <c r="GD151" s="20"/>
      <c r="GE151" s="21"/>
      <c r="GF151" s="21"/>
      <c r="GG151" s="21"/>
      <c r="GH151" s="21"/>
      <c r="GI151" s="21"/>
      <c r="GJ151" s="21"/>
      <c r="GK151" s="21"/>
      <c r="GL151" s="21"/>
      <c r="GM151" s="19"/>
      <c r="GN151" s="19"/>
      <c r="GO151" s="22">
        <v>43.32</v>
      </c>
      <c r="GP151" s="22">
        <v>44.6</v>
      </c>
      <c r="GQ151" s="22"/>
      <c r="GR151" s="22">
        <v>20.85</v>
      </c>
      <c r="GS151" s="22">
        <v>24.6</v>
      </c>
      <c r="GT151" s="22"/>
      <c r="GU151" s="242"/>
      <c r="GV151" s="19"/>
      <c r="GW151" s="19"/>
      <c r="GX151" s="19"/>
      <c r="GY151" s="19"/>
      <c r="GZ151" s="23"/>
      <c r="HA151" s="22" t="s">
        <v>633</v>
      </c>
      <c r="HB151" s="22" t="s">
        <v>633</v>
      </c>
      <c r="HC151" s="22"/>
      <c r="HD151" s="22" t="s">
        <v>633</v>
      </c>
      <c r="HE151" s="22" t="s">
        <v>633</v>
      </c>
      <c r="HF151" s="22"/>
      <c r="HG151" s="233" t="s">
        <v>633</v>
      </c>
    </row>
    <row r="152" spans="2:215" ht="15.75">
      <c r="B152" s="10"/>
      <c r="C152" s="192" t="s">
        <v>509</v>
      </c>
      <c r="D152" s="82"/>
      <c r="E152" s="82"/>
      <c r="F152" s="74"/>
      <c r="G152" s="74"/>
      <c r="H152" s="74"/>
      <c r="I152" s="82"/>
      <c r="J152" s="74"/>
      <c r="K152" s="74"/>
      <c r="L152" s="74"/>
      <c r="M152" s="143"/>
      <c r="N152" s="46"/>
      <c r="O152" s="74"/>
      <c r="P152" s="74"/>
      <c r="Q152" s="74"/>
      <c r="R152" s="46"/>
      <c r="S152" s="74"/>
      <c r="T152" s="74"/>
      <c r="U152" s="74"/>
      <c r="V152" s="52"/>
      <c r="W152" s="52"/>
      <c r="X152" s="52"/>
      <c r="Y152" s="141"/>
      <c r="Z152" s="22"/>
      <c r="AA152" s="52"/>
      <c r="AB152" s="22"/>
      <c r="AC152" s="52"/>
      <c r="AD152" s="52"/>
      <c r="AE152" s="22"/>
      <c r="AF152" s="22"/>
      <c r="AG152" s="22"/>
      <c r="AH152" s="52"/>
      <c r="AI152" s="52"/>
      <c r="AJ152" s="52"/>
      <c r="AK152" s="52"/>
      <c r="AL152" s="22"/>
      <c r="AM152" s="52"/>
      <c r="AN152" s="22"/>
      <c r="AO152" s="22"/>
      <c r="AP152" s="22"/>
      <c r="AQ152" s="22"/>
      <c r="AR152" s="22"/>
      <c r="AS152" s="22"/>
      <c r="AT152" s="22"/>
      <c r="AU152" s="22"/>
      <c r="AV152" s="77"/>
      <c r="AW152" s="77"/>
      <c r="AX152" s="78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40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19"/>
      <c r="CX152" s="19"/>
      <c r="CY152" s="19"/>
      <c r="CZ152" s="19"/>
      <c r="DA152" s="21"/>
      <c r="DB152" s="21"/>
      <c r="DC152" s="79"/>
      <c r="DD152" s="79"/>
      <c r="DE152" s="79"/>
      <c r="DF152" s="79"/>
      <c r="DG152" s="79"/>
      <c r="DH152" s="51"/>
      <c r="DI152" s="39"/>
      <c r="DJ152" s="80"/>
      <c r="DK152" s="39"/>
      <c r="DL152" s="39"/>
      <c r="DM152" s="48"/>
      <c r="DN152" s="39"/>
      <c r="DO152" s="39"/>
      <c r="DP152" s="39"/>
      <c r="DQ152" s="39"/>
      <c r="DR152" s="39"/>
      <c r="DS152" s="39"/>
      <c r="DT152" s="39"/>
      <c r="DU152" s="19"/>
      <c r="DV152" s="40"/>
      <c r="DW152" s="40"/>
      <c r="DX152" s="21"/>
      <c r="DY152" s="21"/>
      <c r="DZ152" s="19"/>
      <c r="EA152" s="19"/>
      <c r="EB152" s="19"/>
      <c r="EC152" s="48"/>
      <c r="ED152" s="48"/>
      <c r="EE152" s="22"/>
      <c r="EF152" s="22"/>
      <c r="EG152" s="22"/>
      <c r="EH152" s="22"/>
      <c r="EI152" s="22"/>
      <c r="EJ152" s="22"/>
      <c r="EK152" s="40"/>
      <c r="EL152" s="19"/>
      <c r="EM152" s="19"/>
      <c r="EN152" s="40"/>
      <c r="EO152" s="40"/>
      <c r="EP152" s="40"/>
      <c r="EQ152" s="21"/>
      <c r="ER152" s="21"/>
      <c r="ES152" s="21"/>
      <c r="ET152" s="21"/>
      <c r="EU152" s="19"/>
      <c r="EV152" s="21"/>
      <c r="EW152" s="39"/>
      <c r="EX152" s="39"/>
      <c r="EY152" s="39"/>
      <c r="EZ152" s="39"/>
      <c r="FA152" s="39"/>
      <c r="FB152" s="39"/>
      <c r="FC152" s="39"/>
      <c r="FD152" s="39"/>
      <c r="FE152" s="39"/>
      <c r="FF152" s="39"/>
      <c r="FG152" s="39"/>
      <c r="FH152" s="39"/>
      <c r="FI152" s="39"/>
      <c r="FJ152" s="19"/>
      <c r="FK152" s="19"/>
      <c r="FL152" s="19"/>
      <c r="FM152" s="19"/>
      <c r="FN152" s="19"/>
      <c r="FO152" s="22"/>
      <c r="FP152" s="22"/>
      <c r="FQ152" s="22"/>
      <c r="FR152" s="22"/>
      <c r="FS152" s="22"/>
      <c r="FT152" s="22"/>
      <c r="FU152" s="40"/>
      <c r="FV152" s="19"/>
      <c r="FW152" s="19"/>
      <c r="FX152" s="19"/>
      <c r="FY152" s="19"/>
      <c r="FZ152" s="19"/>
      <c r="GA152" s="19"/>
      <c r="GB152" s="19"/>
      <c r="GC152" s="20"/>
      <c r="GD152" s="20"/>
      <c r="GE152" s="21"/>
      <c r="GF152" s="21"/>
      <c r="GG152" s="21"/>
      <c r="GH152" s="21"/>
      <c r="GI152" s="21"/>
      <c r="GJ152" s="21"/>
      <c r="GK152" s="21"/>
      <c r="GL152" s="21"/>
      <c r="GM152" s="19"/>
      <c r="GN152" s="19"/>
      <c r="GO152" s="22"/>
      <c r="GP152" s="22"/>
      <c r="GQ152" s="22"/>
      <c r="GR152" s="22"/>
      <c r="GS152" s="22"/>
      <c r="GT152" s="22"/>
      <c r="GU152" s="43"/>
      <c r="GV152" s="19"/>
      <c r="GW152" s="19"/>
      <c r="GX152" s="19"/>
      <c r="GY152" s="19"/>
      <c r="GZ152" s="23"/>
      <c r="HA152" s="22"/>
      <c r="HB152" s="22"/>
      <c r="HC152" s="22"/>
      <c r="HD152" s="22"/>
      <c r="HE152" s="22"/>
      <c r="HF152" s="22"/>
      <c r="HG152" s="233"/>
    </row>
    <row r="153" spans="2:215" ht="15.75">
      <c r="B153" s="10"/>
      <c r="C153" s="184" t="s">
        <v>205</v>
      </c>
      <c r="D153" s="82"/>
      <c r="E153" s="82"/>
      <c r="F153" s="74"/>
      <c r="G153" s="74"/>
      <c r="H153" s="74"/>
      <c r="I153" s="82"/>
      <c r="J153" s="74"/>
      <c r="K153" s="74"/>
      <c r="L153" s="74"/>
      <c r="M153" s="143"/>
      <c r="N153" s="46"/>
      <c r="O153" s="74"/>
      <c r="P153" s="74"/>
      <c r="Q153" s="74"/>
      <c r="R153" s="46"/>
      <c r="S153" s="74"/>
      <c r="T153" s="74"/>
      <c r="U153" s="74"/>
      <c r="V153" s="52"/>
      <c r="W153" s="52"/>
      <c r="X153" s="52"/>
      <c r="Y153" s="141"/>
      <c r="Z153" s="22"/>
      <c r="AA153" s="52"/>
      <c r="AB153" s="22"/>
      <c r="AC153" s="52"/>
      <c r="AD153" s="52"/>
      <c r="AE153" s="22"/>
      <c r="AF153" s="22"/>
      <c r="AG153" s="22"/>
      <c r="AH153" s="52"/>
      <c r="AI153" s="52"/>
      <c r="AJ153" s="52"/>
      <c r="AK153" s="52"/>
      <c r="AL153" s="22"/>
      <c r="AM153" s="52"/>
      <c r="AN153" s="22"/>
      <c r="AO153" s="22"/>
      <c r="AP153" s="22"/>
      <c r="AQ153" s="22"/>
      <c r="AR153" s="22"/>
      <c r="AS153" s="22"/>
      <c r="AT153" s="22"/>
      <c r="AU153" s="22"/>
      <c r="AV153" s="77"/>
      <c r="AW153" s="77"/>
      <c r="AX153" s="78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40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19"/>
      <c r="CX153" s="19"/>
      <c r="CY153" s="19"/>
      <c r="CZ153" s="19"/>
      <c r="DA153" s="21"/>
      <c r="DB153" s="21"/>
      <c r="DC153" s="79"/>
      <c r="DD153" s="79"/>
      <c r="DE153" s="79"/>
      <c r="DF153" s="79"/>
      <c r="DG153" s="79"/>
      <c r="DH153" s="51"/>
      <c r="DI153" s="39"/>
      <c r="DJ153" s="80"/>
      <c r="DK153" s="39"/>
      <c r="DL153" s="39"/>
      <c r="DM153" s="48"/>
      <c r="DN153" s="39"/>
      <c r="DO153" s="39"/>
      <c r="DP153" s="39"/>
      <c r="DQ153" s="39"/>
      <c r="DR153" s="39"/>
      <c r="DS153" s="39"/>
      <c r="DT153" s="39"/>
      <c r="DU153" s="19"/>
      <c r="DV153" s="40"/>
      <c r="DW153" s="40"/>
      <c r="DX153" s="21"/>
      <c r="DY153" s="21"/>
      <c r="DZ153" s="19"/>
      <c r="EA153" s="19"/>
      <c r="EB153" s="19"/>
      <c r="EC153" s="48"/>
      <c r="ED153" s="48"/>
      <c r="EE153" s="22"/>
      <c r="EF153" s="22"/>
      <c r="EG153" s="22"/>
      <c r="EH153" s="22"/>
      <c r="EI153" s="22"/>
      <c r="EJ153" s="22"/>
      <c r="EK153" s="40"/>
      <c r="EL153" s="19"/>
      <c r="EM153" s="19"/>
      <c r="EN153" s="40"/>
      <c r="EO153" s="40"/>
      <c r="EP153" s="40"/>
      <c r="EQ153" s="21"/>
      <c r="ER153" s="21"/>
      <c r="ES153" s="21"/>
      <c r="ET153" s="21"/>
      <c r="EU153" s="19"/>
      <c r="EV153" s="21"/>
      <c r="EW153" s="39"/>
      <c r="EX153" s="39"/>
      <c r="EY153" s="39"/>
      <c r="EZ153" s="39"/>
      <c r="FA153" s="39"/>
      <c r="FB153" s="39"/>
      <c r="FC153" s="39"/>
      <c r="FD153" s="39"/>
      <c r="FE153" s="39"/>
      <c r="FF153" s="39"/>
      <c r="FG153" s="39"/>
      <c r="FH153" s="39"/>
      <c r="FI153" s="39"/>
      <c r="FJ153" s="19"/>
      <c r="FK153" s="19"/>
      <c r="FL153" s="19"/>
      <c r="FM153" s="19"/>
      <c r="FN153" s="19"/>
      <c r="FO153" s="22">
        <v>28.16</v>
      </c>
      <c r="FP153" s="22">
        <v>28.58</v>
      </c>
      <c r="FQ153" s="22"/>
      <c r="FR153" s="22">
        <v>33.79</v>
      </c>
      <c r="FS153" s="22">
        <v>34.299999999999997</v>
      </c>
      <c r="FT153" s="22"/>
      <c r="FU153" s="242" t="s">
        <v>666</v>
      </c>
      <c r="FV153" s="19"/>
      <c r="FW153" s="19"/>
      <c r="FX153" s="19"/>
      <c r="FY153" s="19"/>
      <c r="FZ153" s="19"/>
      <c r="GA153" s="19"/>
      <c r="GB153" s="19"/>
      <c r="GC153" s="20"/>
      <c r="GD153" s="20"/>
      <c r="GE153" s="21"/>
      <c r="GF153" s="21"/>
      <c r="GG153" s="21"/>
      <c r="GH153" s="21"/>
      <c r="GI153" s="21"/>
      <c r="GJ153" s="21"/>
      <c r="GK153" s="21"/>
      <c r="GL153" s="21"/>
      <c r="GM153" s="19"/>
      <c r="GN153" s="19"/>
      <c r="GO153" s="22">
        <v>28.58</v>
      </c>
      <c r="GP153" s="22">
        <v>29.54</v>
      </c>
      <c r="GQ153" s="22"/>
      <c r="GR153" s="22">
        <v>34.299999999999997</v>
      </c>
      <c r="GS153" s="22">
        <v>35.450000000000003</v>
      </c>
      <c r="GT153" s="22"/>
      <c r="GU153" s="242" t="s">
        <v>666</v>
      </c>
      <c r="GV153" s="19"/>
      <c r="GW153" s="19"/>
      <c r="GX153" s="19"/>
      <c r="GY153" s="19"/>
      <c r="GZ153" s="23"/>
      <c r="HA153" s="22">
        <v>29.54</v>
      </c>
      <c r="HB153" s="22">
        <v>30.26</v>
      </c>
      <c r="HC153" s="22"/>
      <c r="HD153" s="22">
        <v>35.450000000000003</v>
      </c>
      <c r="HE153" s="22">
        <v>36.31</v>
      </c>
      <c r="HF153" s="22"/>
      <c r="HG153" s="242" t="s">
        <v>666</v>
      </c>
    </row>
    <row r="154" spans="2:215" ht="15.75">
      <c r="B154" s="10"/>
      <c r="C154" s="184" t="s">
        <v>610</v>
      </c>
      <c r="D154" s="82"/>
      <c r="E154" s="82"/>
      <c r="F154" s="74"/>
      <c r="G154" s="74"/>
      <c r="H154" s="74"/>
      <c r="I154" s="82"/>
      <c r="J154" s="74"/>
      <c r="K154" s="74"/>
      <c r="L154" s="74"/>
      <c r="M154" s="143"/>
      <c r="N154" s="46"/>
      <c r="O154" s="74"/>
      <c r="P154" s="74"/>
      <c r="Q154" s="74"/>
      <c r="R154" s="46"/>
      <c r="S154" s="74"/>
      <c r="T154" s="74"/>
      <c r="U154" s="74"/>
      <c r="V154" s="52"/>
      <c r="W154" s="52"/>
      <c r="X154" s="52"/>
      <c r="Y154" s="141"/>
      <c r="Z154" s="22"/>
      <c r="AA154" s="52"/>
      <c r="AB154" s="22"/>
      <c r="AC154" s="52"/>
      <c r="AD154" s="52"/>
      <c r="AE154" s="22"/>
      <c r="AF154" s="22"/>
      <c r="AG154" s="22"/>
      <c r="AH154" s="52"/>
      <c r="AI154" s="52"/>
      <c r="AJ154" s="52"/>
      <c r="AK154" s="52"/>
      <c r="AL154" s="22"/>
      <c r="AM154" s="52"/>
      <c r="AN154" s="22"/>
      <c r="AO154" s="22"/>
      <c r="AP154" s="22"/>
      <c r="AQ154" s="22"/>
      <c r="AR154" s="22"/>
      <c r="AS154" s="22"/>
      <c r="AT154" s="22"/>
      <c r="AU154" s="22"/>
      <c r="AV154" s="77"/>
      <c r="AW154" s="77"/>
      <c r="AX154" s="78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40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19"/>
      <c r="CX154" s="19"/>
      <c r="CY154" s="19"/>
      <c r="CZ154" s="19"/>
      <c r="DA154" s="21"/>
      <c r="DB154" s="21"/>
      <c r="DC154" s="79"/>
      <c r="DD154" s="79"/>
      <c r="DE154" s="79"/>
      <c r="DF154" s="79"/>
      <c r="DG154" s="79"/>
      <c r="DH154" s="51"/>
      <c r="DI154" s="39"/>
      <c r="DJ154" s="80"/>
      <c r="DK154" s="39"/>
      <c r="DL154" s="39"/>
      <c r="DM154" s="48"/>
      <c r="DN154" s="39"/>
      <c r="DO154" s="39"/>
      <c r="DP154" s="39"/>
      <c r="DQ154" s="39"/>
      <c r="DR154" s="39"/>
      <c r="DS154" s="39"/>
      <c r="DT154" s="39"/>
      <c r="DU154" s="19"/>
      <c r="DV154" s="40"/>
      <c r="DW154" s="40"/>
      <c r="DX154" s="21"/>
      <c r="DY154" s="21"/>
      <c r="DZ154" s="19"/>
      <c r="EA154" s="19"/>
      <c r="EB154" s="19"/>
      <c r="EC154" s="48"/>
      <c r="ED154" s="48"/>
      <c r="EE154" s="22"/>
      <c r="EF154" s="22"/>
      <c r="EG154" s="22"/>
      <c r="EH154" s="22"/>
      <c r="EI154" s="22"/>
      <c r="EJ154" s="22"/>
      <c r="EK154" s="40"/>
      <c r="EL154" s="19"/>
      <c r="EM154" s="19"/>
      <c r="EN154" s="40"/>
      <c r="EO154" s="40"/>
      <c r="EP154" s="40"/>
      <c r="EQ154" s="21"/>
      <c r="ER154" s="21"/>
      <c r="ES154" s="21"/>
      <c r="ET154" s="21"/>
      <c r="EU154" s="19"/>
      <c r="EV154" s="21"/>
      <c r="EW154" s="39"/>
      <c r="EX154" s="39"/>
      <c r="EY154" s="39"/>
      <c r="EZ154" s="39"/>
      <c r="FA154" s="39"/>
      <c r="FB154" s="39"/>
      <c r="FC154" s="39"/>
      <c r="FD154" s="39"/>
      <c r="FE154" s="39"/>
      <c r="FF154" s="39"/>
      <c r="FG154" s="39"/>
      <c r="FH154" s="39"/>
      <c r="FI154" s="39"/>
      <c r="FJ154" s="19"/>
      <c r="FK154" s="19"/>
      <c r="FL154" s="19"/>
      <c r="FM154" s="19"/>
      <c r="FN154" s="19"/>
      <c r="FO154" s="22">
        <v>27.48</v>
      </c>
      <c r="FP154" s="22">
        <v>27.89</v>
      </c>
      <c r="FQ154" s="22"/>
      <c r="FR154" s="22">
        <v>32.979999999999997</v>
      </c>
      <c r="FS154" s="22">
        <v>33.47</v>
      </c>
      <c r="FT154" s="22"/>
      <c r="FU154" s="242"/>
      <c r="FV154" s="19"/>
      <c r="FW154" s="19"/>
      <c r="FX154" s="19"/>
      <c r="FY154" s="19"/>
      <c r="FZ154" s="19"/>
      <c r="GA154" s="19"/>
      <c r="GB154" s="19"/>
      <c r="GC154" s="20"/>
      <c r="GD154" s="20"/>
      <c r="GE154" s="21"/>
      <c r="GF154" s="21"/>
      <c r="GG154" s="21"/>
      <c r="GH154" s="21"/>
      <c r="GI154" s="21"/>
      <c r="GJ154" s="21"/>
      <c r="GK154" s="21"/>
      <c r="GL154" s="21"/>
      <c r="GM154" s="19"/>
      <c r="GN154" s="19"/>
      <c r="GO154" s="22">
        <v>27.89</v>
      </c>
      <c r="GP154" s="22">
        <v>31.99</v>
      </c>
      <c r="GQ154" s="22"/>
      <c r="GR154" s="22">
        <v>33.47</v>
      </c>
      <c r="GS154" s="22">
        <v>38.39</v>
      </c>
      <c r="GT154" s="22"/>
      <c r="GU154" s="242"/>
      <c r="GV154" s="19"/>
      <c r="GW154" s="19"/>
      <c r="GX154" s="19"/>
      <c r="GY154" s="19"/>
      <c r="GZ154" s="23"/>
      <c r="HA154" s="22">
        <v>31.99</v>
      </c>
      <c r="HB154" s="22">
        <v>32.840000000000003</v>
      </c>
      <c r="HC154" s="22"/>
      <c r="HD154" s="22">
        <v>38.39</v>
      </c>
      <c r="HE154" s="22">
        <v>39.409999999999997</v>
      </c>
      <c r="HF154" s="22"/>
      <c r="HG154" s="242"/>
    </row>
    <row r="155" spans="2:215" ht="15.75">
      <c r="B155" s="10" t="s">
        <v>301</v>
      </c>
      <c r="C155" s="192" t="s">
        <v>302</v>
      </c>
      <c r="D155" s="46"/>
      <c r="E155" s="46"/>
      <c r="F155" s="46"/>
      <c r="G155" s="46"/>
      <c r="H155" s="46"/>
      <c r="I155" s="46"/>
      <c r="J155" s="46"/>
      <c r="K155" s="46"/>
      <c r="L155" s="46"/>
      <c r="M155" s="143">
        <f t="shared" ref="M155:M163" si="807">+N155+R155</f>
        <v>0</v>
      </c>
      <c r="N155" s="46">
        <f t="shared" ref="N155:N162" si="808">+E155</f>
        <v>0</v>
      </c>
      <c r="O155" s="46"/>
      <c r="P155" s="46"/>
      <c r="Q155" s="46"/>
      <c r="R155" s="46">
        <f t="shared" ref="R155:R163" si="809">+I155</f>
        <v>0</v>
      </c>
      <c r="S155" s="46"/>
      <c r="T155" s="46"/>
      <c r="U155" s="46"/>
      <c r="V155" s="52"/>
      <c r="W155" s="52"/>
      <c r="X155" s="52">
        <f t="shared" si="694"/>
        <v>0</v>
      </c>
      <c r="Y155" s="52"/>
      <c r="Z155" s="22">
        <f t="shared" si="568"/>
        <v>0</v>
      </c>
      <c r="AA155" s="52"/>
      <c r="AB155" s="22">
        <f t="shared" si="569"/>
        <v>0</v>
      </c>
      <c r="AC155" s="22"/>
      <c r="AD155" s="22"/>
      <c r="AE155" s="22">
        <f t="shared" ref="AE155:AE195" si="810">+IF(AC155=0,,AF155/AC155*100)</f>
        <v>0</v>
      </c>
      <c r="AF155" s="22"/>
      <c r="AG155" s="22">
        <f t="shared" si="773"/>
        <v>0</v>
      </c>
      <c r="AH155" s="52"/>
      <c r="AI155" s="52"/>
      <c r="AJ155" s="52">
        <f t="shared" si="571"/>
        <v>0</v>
      </c>
      <c r="AK155" s="52"/>
      <c r="AL155" s="22">
        <f t="shared" si="572"/>
        <v>0</v>
      </c>
      <c r="AM155" s="52"/>
      <c r="AN155" s="22">
        <f t="shared" si="573"/>
        <v>0</v>
      </c>
      <c r="AO155" s="22">
        <f t="shared" si="695"/>
        <v>0</v>
      </c>
      <c r="AP155" s="22">
        <f t="shared" si="575"/>
        <v>0</v>
      </c>
      <c r="AQ155" s="22"/>
      <c r="AR155" s="22"/>
      <c r="AS155" s="22">
        <f t="shared" ref="AS155:AS195" si="811">+IF(AQ155=0,,AT155/AQ155*100)</f>
        <v>0</v>
      </c>
      <c r="AT155" s="22"/>
      <c r="AU155" s="22">
        <f t="shared" si="774"/>
        <v>0</v>
      </c>
      <c r="AV155" s="77"/>
      <c r="AW155" s="77">
        <f>+CY155/$CY$138*100</f>
        <v>0</v>
      </c>
      <c r="AX155" s="78"/>
      <c r="AY155" s="22">
        <f t="shared" si="775"/>
        <v>0</v>
      </c>
      <c r="AZ155" s="22"/>
      <c r="BA155" s="22"/>
      <c r="BB155" s="22"/>
      <c r="BC155" s="22"/>
      <c r="BD155" s="22"/>
      <c r="BE155" s="22">
        <f t="shared" si="776"/>
        <v>0</v>
      </c>
      <c r="BF155" s="22"/>
      <c r="BG155" s="22"/>
      <c r="BH155" s="22">
        <f t="shared" si="777"/>
        <v>0</v>
      </c>
      <c r="BI155" s="22"/>
      <c r="BJ155" s="40"/>
      <c r="BK155" s="19">
        <f t="shared" ref="BK155:BK220" si="812">+BL155+BM155+BN155</f>
        <v>0</v>
      </c>
      <c r="BL155" s="19">
        <f t="shared" si="579"/>
        <v>0</v>
      </c>
      <c r="BM155" s="19">
        <f t="shared" si="580"/>
        <v>0</v>
      </c>
      <c r="BN155" s="19">
        <f t="shared" si="581"/>
        <v>0</v>
      </c>
      <c r="BO155" s="19">
        <f t="shared" ref="BO155:BO220" si="813">+BP155+BQ155+BR155</f>
        <v>0</v>
      </c>
      <c r="BP155" s="19">
        <f t="shared" si="583"/>
        <v>0</v>
      </c>
      <c r="BQ155" s="19">
        <f t="shared" ref="BQ155:BQ162" si="814">+(Y155-ROUND(AK155/1.18,2))*E155/1000</f>
        <v>0</v>
      </c>
      <c r="BR155" s="19">
        <f t="shared" si="585"/>
        <v>0</v>
      </c>
      <c r="BS155" s="19">
        <f t="shared" ref="BS155:BS220" si="815">+BT155+BV155+BU155</f>
        <v>0</v>
      </c>
      <c r="BT155" s="19">
        <f t="shared" si="587"/>
        <v>0</v>
      </c>
      <c r="BU155" s="19">
        <f t="shared" ref="BU155:BU162" si="816">+(AA155-ROUND(AM155/1.18,2))*E155/1000</f>
        <v>0</v>
      </c>
      <c r="BV155" s="19">
        <f t="shared" si="589"/>
        <v>0</v>
      </c>
      <c r="BW155" s="19">
        <f t="shared" si="659"/>
        <v>0</v>
      </c>
      <c r="BX155" s="19">
        <f t="shared" ref="BX155:BX163" si="817">+((AQ155/1.18*N155/1000)+(AR155/1.18*N155/1000))/2</f>
        <v>0</v>
      </c>
      <c r="BY155" s="19">
        <f t="shared" ref="BY155:BY163" si="818">+((AC155-ROUND(AQ155/1.18,2))*N155/1000+(AD155-ROUND(AR155/1.18,2))*N155/1000)/2</f>
        <v>0</v>
      </c>
      <c r="BZ155" s="19">
        <f t="shared" ref="BZ155:BZ163" si="819">+((AC155*R155/1000)+(R155*AD155/1000))/2</f>
        <v>0</v>
      </c>
      <c r="CA155" s="19">
        <f t="shared" si="663"/>
        <v>0</v>
      </c>
      <c r="CB155" s="19">
        <f t="shared" ref="CB155:CB163" si="820">+AT155/1.18*N155/1000</f>
        <v>0</v>
      </c>
      <c r="CC155" s="19">
        <f t="shared" ref="CC155:CC163" si="821">+(AF155-ROUND(AT155/1.18,2))*N155/1000</f>
        <v>0</v>
      </c>
      <c r="CD155" s="19">
        <f t="shared" si="747"/>
        <v>0</v>
      </c>
      <c r="CE155" s="48">
        <f t="shared" ref="CE155:CE209" si="822">+IF(R155=0,,BN155/R155*1000)</f>
        <v>0</v>
      </c>
      <c r="CF155" s="48">
        <f t="shared" ref="CF155:CF209" si="823">+IF(I155=0,,BR155/I155*1000)</f>
        <v>0</v>
      </c>
      <c r="CG155" s="48">
        <f t="shared" ref="CG155:CG209" si="824">+IF(I155=0,,BV155/I155*1000)</f>
        <v>0</v>
      </c>
      <c r="CH155" s="48">
        <f t="shared" ref="CH155:CH209" si="825">+IF(E155=0,,BL155/E155*1000*1.18)</f>
        <v>0</v>
      </c>
      <c r="CI155" s="48">
        <f t="shared" ref="CI155:CI209" si="826">+IF(E155=0,,BP155/E155*1.18*1000)</f>
        <v>0</v>
      </c>
      <c r="CJ155" s="48">
        <f t="shared" ref="CJ155:CJ209" si="827">+IF(E155=0,,BT155/E155*1.18*1000)</f>
        <v>0</v>
      </c>
      <c r="CK155" s="48">
        <f t="shared" ref="CK155:CK209" si="828">+IF(D155=0,,BK155/D155*1000)</f>
        <v>0</v>
      </c>
      <c r="CL155" s="48">
        <f t="shared" ref="CL155:CL209" si="829">+IF(D155=0,,BO155/D155*1000)</f>
        <v>0</v>
      </c>
      <c r="CM155" s="48">
        <f t="shared" ref="CM155:CM209" si="830">+IF(D155=0,,BS155/D155*1000)</f>
        <v>0</v>
      </c>
      <c r="CN155" s="48">
        <f t="shared" ref="CN155:CN206" si="831">+IF((D155+D155+D155)=0,,(BK155+BO155+BS155)/(D155+D155+D155))*1000</f>
        <v>0</v>
      </c>
      <c r="CO155" s="48">
        <f t="shared" ref="CO155:CO209" si="832">+IF(R155=0,,BZ155/R155*1000)</f>
        <v>0</v>
      </c>
      <c r="CP155" s="48">
        <f t="shared" ref="CP155:CP209" si="833">+IF(R155=0,,CD155/R155*1000)</f>
        <v>0</v>
      </c>
      <c r="CQ155" s="48">
        <f t="shared" ref="CQ155:CQ209" si="834">+IF(N155=0,,BX155/N155*1.18*1000)</f>
        <v>0</v>
      </c>
      <c r="CR155" s="48">
        <f t="shared" ref="CR155:CR209" si="835">+IF(N155=0,,CB155/N155*1.18*1000)</f>
        <v>0</v>
      </c>
      <c r="CS155" s="48">
        <f t="shared" ref="CS155:CS209" si="836">+IF(M155=0,,BW155/M155*1000)</f>
        <v>0</v>
      </c>
      <c r="CT155" s="48">
        <f t="shared" ref="CT155:CT209" si="837">+IF(M155=0,,CA155/M155*1000)</f>
        <v>0</v>
      </c>
      <c r="CU155" s="48">
        <f t="shared" ref="CU155:CU206" si="838">+IF((M155+M155)=0,,(CA155+BW155)/(M155+M155))*1000</f>
        <v>0</v>
      </c>
      <c r="CV155" s="48">
        <f t="shared" ref="CV155:CV209" si="839">+IF(CN155=0,,CU155/CN155*100)</f>
        <v>0</v>
      </c>
      <c r="CW155" s="19">
        <f t="shared" ref="CW155:CW163" si="840">+((AI155*F155)/1.18+(G155*AK155)/1.18+(H155*AM155)/1.18)/1000</f>
        <v>0</v>
      </c>
      <c r="CX155" s="19">
        <f t="shared" ref="CX155:CX163" si="841">+((W155*F155)+(Y155*G155)+(AA155*H155))/1000</f>
        <v>0</v>
      </c>
      <c r="CY155" s="19">
        <f t="shared" ref="CY155:CY163" si="842">+((AQ155*O155)/1.18+(Q155*AT155)/1.18+(AR155*P155)/1.18)/1000</f>
        <v>0</v>
      </c>
      <c r="CZ155" s="19">
        <f t="shared" ref="CZ155:CZ163" si="843">+((AC155*O155)+(AF155*Q155)+(AD155*P155))/1000</f>
        <v>0</v>
      </c>
      <c r="DA155" s="21">
        <f t="shared" ref="DA155:DA209" si="844">+IF(CX155=0,,CW155/CX155*100)</f>
        <v>0</v>
      </c>
      <c r="DB155" s="21">
        <f t="shared" ref="DB155:DB209" si="845">+IF(CZ155=0,,CY155/CZ155*100)</f>
        <v>0</v>
      </c>
      <c r="DC155" s="79">
        <f t="shared" ref="DC155:DD209" si="846">+IF(CW155=0,,CY155/CW155*100)</f>
        <v>0</v>
      </c>
      <c r="DD155" s="79">
        <f t="shared" si="846"/>
        <v>0</v>
      </c>
      <c r="DE155" s="79">
        <f t="shared" ref="DE155:DF184" si="847">+(O155+S155)*AC155/1000</f>
        <v>0</v>
      </c>
      <c r="DF155" s="79">
        <f t="shared" si="847"/>
        <v>0</v>
      </c>
      <c r="DG155" s="79">
        <f t="shared" si="764"/>
        <v>0</v>
      </c>
      <c r="DH155" s="51">
        <f t="shared" ref="DH155:DH209" si="848">+DE155+DF155+DG155</f>
        <v>0</v>
      </c>
      <c r="DI155" s="39"/>
      <c r="DJ155" s="80">
        <f t="shared" ref="DJ155:DJ209" si="849">+(F155+J155)*W155/1000</f>
        <v>0</v>
      </c>
      <c r="DK155" s="39">
        <f t="shared" ref="DK155:DK209" si="850">+Y155*(G155+K155)/1000</f>
        <v>0</v>
      </c>
      <c r="DL155" s="39">
        <f t="shared" ref="DL155:DL209" si="851">+(H155+L155)*AA155/1000</f>
        <v>0</v>
      </c>
      <c r="DM155" s="48">
        <f>+AT155-'[2]тарифы (12-13) население 15%'!AP209</f>
        <v>0</v>
      </c>
      <c r="DN155" s="39"/>
      <c r="DO155" s="39"/>
      <c r="DP155" s="39"/>
      <c r="DQ155" s="39"/>
      <c r="DR155" s="39"/>
      <c r="DS155" s="39"/>
      <c r="DT155" s="39"/>
      <c r="DU155" s="19">
        <f t="shared" si="778"/>
        <v>0</v>
      </c>
      <c r="DV155" s="40">
        <f t="shared" si="779"/>
        <v>0</v>
      </c>
      <c r="DW155" s="40">
        <f t="shared" si="780"/>
        <v>0</v>
      </c>
      <c r="DX155" s="46"/>
      <c r="DY155" s="21">
        <f t="shared" si="781"/>
        <v>0</v>
      </c>
      <c r="DZ155" s="19">
        <f t="shared" si="782"/>
        <v>0</v>
      </c>
      <c r="EA155" s="19">
        <f t="shared" si="783"/>
        <v>0</v>
      </c>
      <c r="EB155" s="19"/>
      <c r="EC155" s="48">
        <f t="shared" si="784"/>
        <v>0</v>
      </c>
      <c r="ED155" s="48">
        <f t="shared" si="785"/>
        <v>0</v>
      </c>
      <c r="EE155" s="22"/>
      <c r="EF155" s="22"/>
      <c r="EG155" s="22">
        <f t="shared" si="786"/>
        <v>0</v>
      </c>
      <c r="EH155" s="22"/>
      <c r="EI155" s="22"/>
      <c r="EJ155" s="22">
        <f t="shared" si="787"/>
        <v>0</v>
      </c>
      <c r="EK155" s="40"/>
      <c r="EL155" s="19"/>
      <c r="EM155" s="19"/>
      <c r="EN155" s="40">
        <f t="shared" si="788"/>
        <v>0</v>
      </c>
      <c r="EO155" s="40">
        <f t="shared" si="789"/>
        <v>0</v>
      </c>
      <c r="EP155" s="40"/>
      <c r="EQ155" s="21">
        <f t="shared" si="790"/>
        <v>0</v>
      </c>
      <c r="ER155" s="21"/>
      <c r="ES155" s="21">
        <f t="shared" si="791"/>
        <v>0</v>
      </c>
      <c r="ET155" s="21"/>
      <c r="EU155" s="19">
        <f t="shared" si="792"/>
        <v>0</v>
      </c>
      <c r="EV155" s="21"/>
      <c r="EW155" s="39"/>
      <c r="EX155" s="39">
        <f t="shared" si="768"/>
        <v>0</v>
      </c>
      <c r="EY155" s="39">
        <f t="shared" si="731"/>
        <v>0</v>
      </c>
      <c r="EZ155" s="39"/>
      <c r="FA155" s="39"/>
      <c r="FB155" s="39"/>
      <c r="FC155" s="39"/>
      <c r="FD155" s="39"/>
      <c r="FE155" s="39"/>
      <c r="FF155" s="39"/>
      <c r="FG155" s="39"/>
      <c r="FH155" s="39"/>
      <c r="FI155" s="39"/>
      <c r="FJ155" s="19">
        <f t="shared" si="793"/>
        <v>0</v>
      </c>
      <c r="FK155" s="19">
        <f t="shared" si="794"/>
        <v>0</v>
      </c>
      <c r="FL155" s="19">
        <f t="shared" si="795"/>
        <v>0</v>
      </c>
      <c r="FM155" s="19"/>
      <c r="FN155" s="19"/>
      <c r="FO155" s="22"/>
      <c r="FP155" s="22"/>
      <c r="FQ155" s="22"/>
      <c r="FR155" s="22"/>
      <c r="FS155" s="22"/>
      <c r="FT155" s="22"/>
      <c r="FU155" s="40"/>
      <c r="FV155" s="19"/>
      <c r="FW155" s="19"/>
      <c r="FX155" s="19"/>
      <c r="FY155" s="19"/>
      <c r="FZ155" s="19"/>
      <c r="GA155" s="19"/>
      <c r="GB155" s="19"/>
      <c r="GC155" s="20"/>
      <c r="GD155" s="20"/>
      <c r="GE155" s="21"/>
      <c r="GF155" s="21"/>
      <c r="GG155" s="21"/>
      <c r="GH155" s="21"/>
      <c r="GI155" s="21"/>
      <c r="GJ155" s="21"/>
      <c r="GK155" s="21"/>
      <c r="GL155" s="21"/>
      <c r="GM155" s="19"/>
      <c r="GN155" s="19"/>
      <c r="GO155" s="22"/>
      <c r="GP155" s="22"/>
      <c r="GQ155" s="22"/>
      <c r="GR155" s="22"/>
      <c r="GS155" s="22"/>
      <c r="GT155" s="22"/>
      <c r="GU155" s="43"/>
      <c r="GV155" s="19"/>
      <c r="GW155" s="19"/>
      <c r="GX155" s="19"/>
      <c r="GY155" s="19"/>
      <c r="GZ155" s="23"/>
      <c r="HA155" s="22"/>
      <c r="HB155" s="22"/>
      <c r="HC155" s="22"/>
      <c r="HD155" s="22"/>
      <c r="HE155" s="22"/>
      <c r="HF155" s="22"/>
      <c r="HG155" s="233"/>
    </row>
    <row r="156" spans="2:215" ht="15.75">
      <c r="B156" s="10"/>
      <c r="C156" s="161" t="s">
        <v>153</v>
      </c>
      <c r="D156" s="82">
        <v>8720</v>
      </c>
      <c r="E156" s="46"/>
      <c r="F156" s="46"/>
      <c r="G156" s="46"/>
      <c r="H156" s="46"/>
      <c r="I156" s="82">
        <v>8720</v>
      </c>
      <c r="J156" s="74">
        <f>+I156*$J$3</f>
        <v>4818.6719999999996</v>
      </c>
      <c r="K156" s="74">
        <f>+I156*$K$3</f>
        <v>1300.152</v>
      </c>
      <c r="L156" s="74">
        <f>+I156*$L$3</f>
        <v>2601.1759999999999</v>
      </c>
      <c r="M156" s="143">
        <f t="shared" si="807"/>
        <v>8720</v>
      </c>
      <c r="N156" s="46">
        <f t="shared" si="808"/>
        <v>0</v>
      </c>
      <c r="O156" s="46"/>
      <c r="P156" s="46"/>
      <c r="Q156" s="46"/>
      <c r="R156" s="46">
        <f t="shared" si="809"/>
        <v>8720</v>
      </c>
      <c r="S156" s="74">
        <v>5141.3119999999999</v>
      </c>
      <c r="T156" s="74"/>
      <c r="U156" s="74">
        <v>3578.6880000000001</v>
      </c>
      <c r="V156" s="52"/>
      <c r="W156" s="52"/>
      <c r="X156" s="52">
        <f t="shared" si="694"/>
        <v>0</v>
      </c>
      <c r="Y156" s="52"/>
      <c r="Z156" s="22">
        <f t="shared" si="568"/>
        <v>0</v>
      </c>
      <c r="AA156" s="52">
        <v>1034.48</v>
      </c>
      <c r="AB156" s="22">
        <f t="shared" si="569"/>
        <v>0</v>
      </c>
      <c r="AC156" s="52">
        <v>1034.48</v>
      </c>
      <c r="AD156" s="52">
        <v>1034.48</v>
      </c>
      <c r="AE156" s="22">
        <f t="shared" si="810"/>
        <v>110.7483953290542</v>
      </c>
      <c r="AF156" s="22">
        <v>1145.67</v>
      </c>
      <c r="AG156" s="22">
        <f t="shared" si="773"/>
        <v>110.7483953290542</v>
      </c>
      <c r="AH156" s="52"/>
      <c r="AI156" s="52"/>
      <c r="AJ156" s="52">
        <f t="shared" si="571"/>
        <v>0</v>
      </c>
      <c r="AK156" s="52"/>
      <c r="AL156" s="22">
        <f t="shared" si="572"/>
        <v>0</v>
      </c>
      <c r="AM156" s="52"/>
      <c r="AN156" s="22">
        <f t="shared" si="573"/>
        <v>0</v>
      </c>
      <c r="AO156" s="22">
        <f t="shared" si="695"/>
        <v>0</v>
      </c>
      <c r="AP156" s="22">
        <f t="shared" si="575"/>
        <v>0</v>
      </c>
      <c r="AQ156" s="22"/>
      <c r="AR156" s="22"/>
      <c r="AS156" s="22">
        <f t="shared" si="811"/>
        <v>0</v>
      </c>
      <c r="AT156" s="22"/>
      <c r="AU156" s="22">
        <f t="shared" si="774"/>
        <v>0</v>
      </c>
      <c r="AV156" s="77"/>
      <c r="AW156" s="77">
        <f>+CY156/$CY$138*100</f>
        <v>0</v>
      </c>
      <c r="AX156" s="78" t="s">
        <v>303</v>
      </c>
      <c r="AY156" s="22">
        <f t="shared" si="775"/>
        <v>8.7200000000000006</v>
      </c>
      <c r="AZ156" s="22">
        <f>+[8]БПр!$BX$192/1000</f>
        <v>0</v>
      </c>
      <c r="BA156" s="22">
        <f>+[8]БПр!$BW$192/1000</f>
        <v>2.4700000000000002</v>
      </c>
      <c r="BB156" s="22">
        <f>+([8]БПр!$BY$192+[8]БПр!$BO$192)/1000</f>
        <v>6.25</v>
      </c>
      <c r="BC156" s="22">
        <v>1126.32</v>
      </c>
      <c r="BD156" s="22">
        <v>1151.3699999999999</v>
      </c>
      <c r="BE156" s="22">
        <f t="shared" si="776"/>
        <v>102.22405710632859</v>
      </c>
      <c r="BF156" s="22"/>
      <c r="BG156" s="22"/>
      <c r="BH156" s="22">
        <f t="shared" si="777"/>
        <v>0</v>
      </c>
      <c r="BI156" s="22"/>
      <c r="BJ156" s="40" t="s">
        <v>304</v>
      </c>
      <c r="BK156" s="19">
        <f t="shared" si="812"/>
        <v>0</v>
      </c>
      <c r="BL156" s="19">
        <f t="shared" si="579"/>
        <v>0</v>
      </c>
      <c r="BM156" s="19">
        <f t="shared" si="580"/>
        <v>0</v>
      </c>
      <c r="BN156" s="19">
        <f t="shared" si="581"/>
        <v>0</v>
      </c>
      <c r="BO156" s="19">
        <f t="shared" si="813"/>
        <v>0</v>
      </c>
      <c r="BP156" s="19">
        <f t="shared" si="583"/>
        <v>0</v>
      </c>
      <c r="BQ156" s="19">
        <f t="shared" si="814"/>
        <v>0</v>
      </c>
      <c r="BR156" s="19">
        <f t="shared" si="585"/>
        <v>0</v>
      </c>
      <c r="BS156" s="19">
        <f t="shared" si="815"/>
        <v>9020.6656000000003</v>
      </c>
      <c r="BT156" s="19">
        <f t="shared" si="587"/>
        <v>0</v>
      </c>
      <c r="BU156" s="19">
        <f t="shared" si="816"/>
        <v>0</v>
      </c>
      <c r="BV156" s="19">
        <f t="shared" si="589"/>
        <v>9020.6656000000003</v>
      </c>
      <c r="BW156" s="19">
        <f t="shared" si="659"/>
        <v>9020.6656000000003</v>
      </c>
      <c r="BX156" s="19">
        <f t="shared" si="817"/>
        <v>0</v>
      </c>
      <c r="BY156" s="19">
        <f t="shared" si="818"/>
        <v>0</v>
      </c>
      <c r="BZ156" s="19">
        <f t="shared" si="819"/>
        <v>9020.6656000000003</v>
      </c>
      <c r="CA156" s="19">
        <f t="shared" si="663"/>
        <v>9990.242400000001</v>
      </c>
      <c r="CB156" s="19">
        <f t="shared" si="820"/>
        <v>0</v>
      </c>
      <c r="CC156" s="19">
        <f t="shared" si="821"/>
        <v>0</v>
      </c>
      <c r="CD156" s="19">
        <f t="shared" si="747"/>
        <v>9990.242400000001</v>
      </c>
      <c r="CE156" s="48">
        <f t="shared" si="822"/>
        <v>0</v>
      </c>
      <c r="CF156" s="48">
        <f t="shared" si="823"/>
        <v>0</v>
      </c>
      <c r="CG156" s="48">
        <f t="shared" si="824"/>
        <v>1034.48</v>
      </c>
      <c r="CH156" s="48">
        <f t="shared" si="825"/>
        <v>0</v>
      </c>
      <c r="CI156" s="48">
        <f t="shared" si="826"/>
        <v>0</v>
      </c>
      <c r="CJ156" s="48">
        <f t="shared" si="827"/>
        <v>0</v>
      </c>
      <c r="CK156" s="48">
        <f t="shared" si="828"/>
        <v>0</v>
      </c>
      <c r="CL156" s="48">
        <f t="shared" si="829"/>
        <v>0</v>
      </c>
      <c r="CM156" s="48">
        <f t="shared" si="830"/>
        <v>1034.48</v>
      </c>
      <c r="CN156" s="48">
        <f t="shared" si="831"/>
        <v>344.82666666666665</v>
      </c>
      <c r="CO156" s="48">
        <f t="shared" si="832"/>
        <v>1034.48</v>
      </c>
      <c r="CP156" s="48">
        <f t="shared" si="833"/>
        <v>1145.6700000000003</v>
      </c>
      <c r="CQ156" s="48">
        <f t="shared" si="834"/>
        <v>0</v>
      </c>
      <c r="CR156" s="48">
        <f t="shared" si="835"/>
        <v>0</v>
      </c>
      <c r="CS156" s="48">
        <f t="shared" si="836"/>
        <v>1034.48</v>
      </c>
      <c r="CT156" s="48">
        <f t="shared" si="837"/>
        <v>1145.6700000000003</v>
      </c>
      <c r="CU156" s="48">
        <f t="shared" si="838"/>
        <v>1090.075</v>
      </c>
      <c r="CV156" s="48">
        <f t="shared" si="839"/>
        <v>316.12259299358129</v>
      </c>
      <c r="CW156" s="19">
        <f t="shared" si="840"/>
        <v>0</v>
      </c>
      <c r="CX156" s="19">
        <f t="shared" si="841"/>
        <v>0</v>
      </c>
      <c r="CY156" s="19">
        <f t="shared" si="842"/>
        <v>0</v>
      </c>
      <c r="CZ156" s="19">
        <f t="shared" si="843"/>
        <v>0</v>
      </c>
      <c r="DA156" s="21">
        <f t="shared" si="844"/>
        <v>0</v>
      </c>
      <c r="DB156" s="21">
        <f t="shared" si="845"/>
        <v>0</v>
      </c>
      <c r="DC156" s="79">
        <f t="shared" si="846"/>
        <v>0</v>
      </c>
      <c r="DD156" s="79">
        <f t="shared" si="846"/>
        <v>0</v>
      </c>
      <c r="DE156" s="79">
        <f t="shared" si="847"/>
        <v>5318.5844377599997</v>
      </c>
      <c r="DF156" s="79">
        <f t="shared" si="847"/>
        <v>0</v>
      </c>
      <c r="DG156" s="79">
        <f t="shared" si="764"/>
        <v>4099.9954809600004</v>
      </c>
      <c r="DH156" s="51">
        <f t="shared" si="848"/>
        <v>9418.5799187199991</v>
      </c>
      <c r="DI156" s="39"/>
      <c r="DJ156" s="80">
        <f t="shared" si="849"/>
        <v>0</v>
      </c>
      <c r="DK156" s="39">
        <f t="shared" si="850"/>
        <v>0</v>
      </c>
      <c r="DL156" s="39">
        <f t="shared" si="851"/>
        <v>2690.8645484799999</v>
      </c>
      <c r="DM156" s="48">
        <f>+AT156-'[2]тарифы (12-13) население 15%'!AP210</f>
        <v>0</v>
      </c>
      <c r="DN156" s="39"/>
      <c r="DO156" s="39"/>
      <c r="DP156" s="39"/>
      <c r="DQ156" s="39"/>
      <c r="DR156" s="39"/>
      <c r="DS156" s="39"/>
      <c r="DT156" s="39"/>
      <c r="DU156" s="19">
        <f t="shared" si="778"/>
        <v>0</v>
      </c>
      <c r="DV156" s="40">
        <f t="shared" si="779"/>
        <v>0</v>
      </c>
      <c r="DW156" s="40">
        <f t="shared" si="780"/>
        <v>0</v>
      </c>
      <c r="DX156" s="46"/>
      <c r="DY156" s="21">
        <f t="shared" si="781"/>
        <v>0</v>
      </c>
      <c r="DZ156" s="19">
        <f t="shared" si="782"/>
        <v>9.8215104000000011</v>
      </c>
      <c r="EA156" s="19">
        <f t="shared" si="783"/>
        <v>10.039946399999998</v>
      </c>
      <c r="EB156" s="19"/>
      <c r="EC156" s="48">
        <f t="shared" si="784"/>
        <v>0</v>
      </c>
      <c r="ED156" s="48">
        <f t="shared" si="785"/>
        <v>0</v>
      </c>
      <c r="EE156" s="22">
        <v>1151.3699999999999</v>
      </c>
      <c r="EF156" s="22">
        <v>1247.57</v>
      </c>
      <c r="EG156" s="22">
        <f t="shared" si="786"/>
        <v>108.3552637292964</v>
      </c>
      <c r="EH156" s="22"/>
      <c r="EI156" s="22"/>
      <c r="EJ156" s="22">
        <f t="shared" si="787"/>
        <v>0</v>
      </c>
      <c r="EK156" s="40" t="s">
        <v>305</v>
      </c>
      <c r="EL156" s="19">
        <v>8.7200000000000006</v>
      </c>
      <c r="EM156" s="19">
        <v>0</v>
      </c>
      <c r="EN156" s="40">
        <f t="shared" si="788"/>
        <v>0</v>
      </c>
      <c r="EO156" s="40">
        <f t="shared" si="789"/>
        <v>0</v>
      </c>
      <c r="EP156" s="40"/>
      <c r="EQ156" s="21">
        <f t="shared" si="790"/>
        <v>0</v>
      </c>
      <c r="ER156" s="21"/>
      <c r="ES156" s="21">
        <f t="shared" si="791"/>
        <v>10039.946399999999</v>
      </c>
      <c r="ET156" s="21"/>
      <c r="EU156" s="19">
        <f t="shared" si="792"/>
        <v>10878.8104</v>
      </c>
      <c r="EV156" s="21"/>
      <c r="EW156" s="39"/>
      <c r="EX156" s="39">
        <f t="shared" si="768"/>
        <v>10039.946399999999</v>
      </c>
      <c r="EY156" s="39">
        <f t="shared" si="731"/>
        <v>10878.8104</v>
      </c>
      <c r="EZ156" s="39"/>
      <c r="FA156" s="39"/>
      <c r="FB156" s="39"/>
      <c r="FC156" s="39"/>
      <c r="FD156" s="39"/>
      <c r="FE156" s="39"/>
      <c r="FF156" s="39"/>
      <c r="FG156" s="39"/>
      <c r="FH156" s="39"/>
      <c r="FI156" s="39"/>
      <c r="FJ156" s="19">
        <f t="shared" si="793"/>
        <v>0</v>
      </c>
      <c r="FK156" s="19">
        <f t="shared" si="794"/>
        <v>0</v>
      </c>
      <c r="FL156" s="19">
        <f t="shared" si="795"/>
        <v>0</v>
      </c>
      <c r="FM156" s="19">
        <v>8.7200000000000006</v>
      </c>
      <c r="FN156" s="19"/>
      <c r="FO156" s="22">
        <v>1396.56</v>
      </c>
      <c r="FP156" s="22">
        <v>1437.25</v>
      </c>
      <c r="FQ156" s="22"/>
      <c r="FR156" s="22" t="s">
        <v>633</v>
      </c>
      <c r="FS156" s="22" t="s">
        <v>633</v>
      </c>
      <c r="FT156" s="22"/>
      <c r="FU156" s="40" t="s">
        <v>667</v>
      </c>
      <c r="FV156" s="19"/>
      <c r="FW156" s="19"/>
      <c r="FX156" s="19"/>
      <c r="FY156" s="19"/>
      <c r="FZ156" s="19"/>
      <c r="GA156" s="19"/>
      <c r="GB156" s="19"/>
      <c r="GC156" s="20"/>
      <c r="GD156" s="20"/>
      <c r="GE156" s="21"/>
      <c r="GF156" s="21"/>
      <c r="GG156" s="21"/>
      <c r="GH156" s="21"/>
      <c r="GI156" s="21"/>
      <c r="GJ156" s="21"/>
      <c r="GK156" s="21"/>
      <c r="GL156" s="21"/>
      <c r="GM156" s="19"/>
      <c r="GN156" s="19"/>
      <c r="GO156" s="22">
        <v>1437.25</v>
      </c>
      <c r="GP156" s="22">
        <v>1466.87</v>
      </c>
      <c r="GQ156" s="22"/>
      <c r="GR156" s="22" t="s">
        <v>633</v>
      </c>
      <c r="GS156" s="39" t="s">
        <v>633</v>
      </c>
      <c r="GT156" s="22"/>
      <c r="GU156" s="40" t="s">
        <v>667</v>
      </c>
      <c r="GV156" s="19"/>
      <c r="GW156" s="19"/>
      <c r="GX156" s="19"/>
      <c r="GY156" s="19"/>
      <c r="GZ156" s="23"/>
      <c r="HA156" s="22">
        <v>1466.87</v>
      </c>
      <c r="HB156" s="22">
        <v>1564.47</v>
      </c>
      <c r="HC156" s="22"/>
      <c r="HD156" s="22" t="s">
        <v>633</v>
      </c>
      <c r="HE156" s="22" t="s">
        <v>633</v>
      </c>
      <c r="HF156" s="22"/>
      <c r="HG156" s="236" t="s">
        <v>667</v>
      </c>
    </row>
    <row r="157" spans="2:215" ht="15.75">
      <c r="B157" s="10" t="s">
        <v>306</v>
      </c>
      <c r="C157" s="81" t="s">
        <v>307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143">
        <f t="shared" si="807"/>
        <v>0</v>
      </c>
      <c r="N157" s="46">
        <f t="shared" si="808"/>
        <v>0</v>
      </c>
      <c r="O157" s="73"/>
      <c r="P157" s="73"/>
      <c r="Q157" s="73"/>
      <c r="R157" s="46">
        <f t="shared" si="809"/>
        <v>0</v>
      </c>
      <c r="S157" s="73"/>
      <c r="T157" s="73"/>
      <c r="U157" s="73"/>
      <c r="V157" s="52"/>
      <c r="W157" s="52"/>
      <c r="X157" s="52">
        <f t="shared" si="694"/>
        <v>0</v>
      </c>
      <c r="Y157" s="22"/>
      <c r="Z157" s="22">
        <f t="shared" ref="Z157:Z239" si="852">+IF(W157=0,,Y157/W157*100)</f>
        <v>0</v>
      </c>
      <c r="AA157" s="22"/>
      <c r="AB157" s="22">
        <f t="shared" ref="AB157:AB239" si="853">+IF(Y157=0,,AA157/Y157*100)</f>
        <v>0</v>
      </c>
      <c r="AC157" s="22"/>
      <c r="AD157" s="22"/>
      <c r="AE157" s="22">
        <f t="shared" si="810"/>
        <v>0</v>
      </c>
      <c r="AF157" s="22"/>
      <c r="AG157" s="22">
        <f t="shared" si="773"/>
        <v>0</v>
      </c>
      <c r="AH157" s="52"/>
      <c r="AI157" s="52"/>
      <c r="AJ157" s="52">
        <f t="shared" ref="AJ157:AJ239" si="854">+IF(AH157=0,,AI157/AH157*100)</f>
        <v>0</v>
      </c>
      <c r="AK157" s="52"/>
      <c r="AL157" s="22">
        <f t="shared" ref="AL157:AL239" si="855">+IF(AI157=0,,AK157/AI157*100)</f>
        <v>0</v>
      </c>
      <c r="AM157" s="52"/>
      <c r="AN157" s="22">
        <f t="shared" ref="AN157:AN239" si="856">+IF(AK157=0,,AM157/AK157*100)</f>
        <v>0</v>
      </c>
      <c r="AO157" s="22">
        <f t="shared" si="695"/>
        <v>0</v>
      </c>
      <c r="AP157" s="22">
        <f t="shared" ref="AP157:AP239" si="857">+IF(AH157=0,,AM157/AH157*100)</f>
        <v>0</v>
      </c>
      <c r="AQ157" s="22"/>
      <c r="AR157" s="22"/>
      <c r="AS157" s="22">
        <f t="shared" si="811"/>
        <v>0</v>
      </c>
      <c r="AT157" s="22"/>
      <c r="AU157" s="22">
        <f t="shared" si="774"/>
        <v>0</v>
      </c>
      <c r="AV157" s="77"/>
      <c r="AW157" s="77">
        <f>+CY157/$CY$138*100</f>
        <v>0</v>
      </c>
      <c r="AX157" s="78"/>
      <c r="AY157" s="22">
        <f t="shared" si="775"/>
        <v>0</v>
      </c>
      <c r="AZ157" s="22"/>
      <c r="BA157" s="22"/>
      <c r="BB157" s="22"/>
      <c r="BC157" s="22"/>
      <c r="BD157" s="22"/>
      <c r="BE157" s="22">
        <f t="shared" si="776"/>
        <v>0</v>
      </c>
      <c r="BF157" s="22"/>
      <c r="BG157" s="22"/>
      <c r="BH157" s="22">
        <f t="shared" si="777"/>
        <v>0</v>
      </c>
      <c r="BI157" s="22"/>
      <c r="BJ157" s="40"/>
      <c r="BK157" s="19">
        <f t="shared" si="812"/>
        <v>0</v>
      </c>
      <c r="BL157" s="19">
        <f t="shared" ref="BL157:BL223" si="858">+E157*AI157/1.18/1000</f>
        <v>0</v>
      </c>
      <c r="BM157" s="19">
        <f t="shared" ref="BM157:BM223" si="859">+(W157-ROUND(AI157/1.18,2))*E157/1000</f>
        <v>0</v>
      </c>
      <c r="BN157" s="19">
        <f t="shared" ref="BN157:BN223" si="860">+W157*I157/1000</f>
        <v>0</v>
      </c>
      <c r="BO157" s="19">
        <f t="shared" si="813"/>
        <v>0</v>
      </c>
      <c r="BP157" s="19">
        <f t="shared" ref="BP157:BP223" si="861">+AK157/1.18*E157/1000</f>
        <v>0</v>
      </c>
      <c r="BQ157" s="19">
        <f t="shared" si="814"/>
        <v>0</v>
      </c>
      <c r="BR157" s="19">
        <f t="shared" ref="BR157:BR223" si="862">+Y157*I157/1000</f>
        <v>0</v>
      </c>
      <c r="BS157" s="19">
        <f t="shared" si="815"/>
        <v>0</v>
      </c>
      <c r="BT157" s="19">
        <f t="shared" ref="BT157:BT223" si="863">+AM157/1.18*E157/1000</f>
        <v>0</v>
      </c>
      <c r="BU157" s="19">
        <f t="shared" si="816"/>
        <v>0</v>
      </c>
      <c r="BV157" s="19">
        <f t="shared" ref="BV157:BV223" si="864">+AA157*I157/1000</f>
        <v>0</v>
      </c>
      <c r="BW157" s="19">
        <f t="shared" ref="BW157:BW163" si="865">+BX157+BY157+BZ157</f>
        <v>0</v>
      </c>
      <c r="BX157" s="19">
        <f t="shared" si="817"/>
        <v>0</v>
      </c>
      <c r="BY157" s="19">
        <f t="shared" si="818"/>
        <v>0</v>
      </c>
      <c r="BZ157" s="19">
        <f t="shared" si="819"/>
        <v>0</v>
      </c>
      <c r="CA157" s="19">
        <f t="shared" ref="CA157:CA163" si="866">+CB157+CC157+CD157</f>
        <v>0</v>
      </c>
      <c r="CB157" s="19">
        <f t="shared" si="820"/>
        <v>0</v>
      </c>
      <c r="CC157" s="19">
        <f t="shared" si="821"/>
        <v>0</v>
      </c>
      <c r="CD157" s="19">
        <f t="shared" si="747"/>
        <v>0</v>
      </c>
      <c r="CE157" s="48">
        <f t="shared" si="822"/>
        <v>0</v>
      </c>
      <c r="CF157" s="48">
        <f t="shared" si="823"/>
        <v>0</v>
      </c>
      <c r="CG157" s="48">
        <f t="shared" si="824"/>
        <v>0</v>
      </c>
      <c r="CH157" s="48">
        <f t="shared" si="825"/>
        <v>0</v>
      </c>
      <c r="CI157" s="48">
        <f t="shared" si="826"/>
        <v>0</v>
      </c>
      <c r="CJ157" s="48">
        <f t="shared" si="827"/>
        <v>0</v>
      </c>
      <c r="CK157" s="48">
        <f t="shared" si="828"/>
        <v>0</v>
      </c>
      <c r="CL157" s="48">
        <f t="shared" si="829"/>
        <v>0</v>
      </c>
      <c r="CM157" s="48">
        <f t="shared" si="830"/>
        <v>0</v>
      </c>
      <c r="CN157" s="48">
        <f t="shared" si="831"/>
        <v>0</v>
      </c>
      <c r="CO157" s="48">
        <f t="shared" si="832"/>
        <v>0</v>
      </c>
      <c r="CP157" s="48">
        <f t="shared" si="833"/>
        <v>0</v>
      </c>
      <c r="CQ157" s="48">
        <f t="shared" si="834"/>
        <v>0</v>
      </c>
      <c r="CR157" s="48">
        <f t="shared" si="835"/>
        <v>0</v>
      </c>
      <c r="CS157" s="48">
        <f t="shared" si="836"/>
        <v>0</v>
      </c>
      <c r="CT157" s="48">
        <f t="shared" si="837"/>
        <v>0</v>
      </c>
      <c r="CU157" s="48">
        <f t="shared" si="838"/>
        <v>0</v>
      </c>
      <c r="CV157" s="48">
        <f t="shared" si="839"/>
        <v>0</v>
      </c>
      <c r="CW157" s="19">
        <f t="shared" si="840"/>
        <v>0</v>
      </c>
      <c r="CX157" s="19">
        <f t="shared" si="841"/>
        <v>0</v>
      </c>
      <c r="CY157" s="19">
        <f t="shared" si="842"/>
        <v>0</v>
      </c>
      <c r="CZ157" s="19">
        <f t="shared" si="843"/>
        <v>0</v>
      </c>
      <c r="DA157" s="21">
        <f t="shared" si="844"/>
        <v>0</v>
      </c>
      <c r="DB157" s="21">
        <f t="shared" si="845"/>
        <v>0</v>
      </c>
      <c r="DC157" s="79">
        <f t="shared" si="846"/>
        <v>0</v>
      </c>
      <c r="DD157" s="79">
        <f t="shared" si="846"/>
        <v>0</v>
      </c>
      <c r="DE157" s="79">
        <f t="shared" si="847"/>
        <v>0</v>
      </c>
      <c r="DF157" s="79">
        <f t="shared" si="847"/>
        <v>0</v>
      </c>
      <c r="DG157" s="79">
        <f t="shared" si="764"/>
        <v>0</v>
      </c>
      <c r="DH157" s="51">
        <f t="shared" si="848"/>
        <v>0</v>
      </c>
      <c r="DI157" s="39"/>
      <c r="DJ157" s="80">
        <f t="shared" si="849"/>
        <v>0</v>
      </c>
      <c r="DK157" s="39">
        <f t="shared" si="850"/>
        <v>0</v>
      </c>
      <c r="DL157" s="39">
        <f t="shared" si="851"/>
        <v>0</v>
      </c>
      <c r="DM157" s="48">
        <f>+AT157-'[2]тарифы (12-13) население 15%'!AP219</f>
        <v>0</v>
      </c>
      <c r="DN157" s="39"/>
      <c r="DO157" s="39"/>
      <c r="DP157" s="39"/>
      <c r="DQ157" s="39"/>
      <c r="DR157" s="39"/>
      <c r="DS157" s="39"/>
      <c r="DT157" s="39"/>
      <c r="DU157" s="19">
        <f t="shared" si="778"/>
        <v>0</v>
      </c>
      <c r="DV157" s="40">
        <f t="shared" si="779"/>
        <v>0</v>
      </c>
      <c r="DW157" s="40">
        <f t="shared" si="780"/>
        <v>0</v>
      </c>
      <c r="DX157" s="46"/>
      <c r="DY157" s="21">
        <f t="shared" si="781"/>
        <v>0</v>
      </c>
      <c r="DZ157" s="19">
        <f t="shared" si="782"/>
        <v>0</v>
      </c>
      <c r="EA157" s="19">
        <f t="shared" si="783"/>
        <v>0</v>
      </c>
      <c r="EB157" s="19"/>
      <c r="EC157" s="48">
        <f t="shared" si="784"/>
        <v>0</v>
      </c>
      <c r="ED157" s="48">
        <f t="shared" si="785"/>
        <v>0</v>
      </c>
      <c r="EE157" s="22"/>
      <c r="EF157" s="22"/>
      <c r="EG157" s="22">
        <f t="shared" si="786"/>
        <v>0</v>
      </c>
      <c r="EH157" s="22"/>
      <c r="EI157" s="22"/>
      <c r="EJ157" s="22">
        <f t="shared" si="787"/>
        <v>0</v>
      </c>
      <c r="EK157" s="40"/>
      <c r="EL157" s="19"/>
      <c r="EM157" s="19"/>
      <c r="EN157" s="40">
        <f t="shared" si="788"/>
        <v>0</v>
      </c>
      <c r="EO157" s="40">
        <f t="shared" si="789"/>
        <v>0</v>
      </c>
      <c r="EP157" s="40"/>
      <c r="EQ157" s="21">
        <f t="shared" si="790"/>
        <v>0</v>
      </c>
      <c r="ER157" s="21"/>
      <c r="ES157" s="21">
        <f t="shared" si="791"/>
        <v>0</v>
      </c>
      <c r="ET157" s="21"/>
      <c r="EU157" s="19">
        <f t="shared" si="792"/>
        <v>0</v>
      </c>
      <c r="EV157" s="21"/>
      <c r="EW157" s="39"/>
      <c r="EX157" s="39">
        <f t="shared" si="768"/>
        <v>0</v>
      </c>
      <c r="EY157" s="39">
        <f t="shared" ref="EY157:EY214" si="867">+EF157*AY157</f>
        <v>0</v>
      </c>
      <c r="EZ157" s="39"/>
      <c r="FA157" s="39"/>
      <c r="FB157" s="39"/>
      <c r="FC157" s="39"/>
      <c r="FD157" s="39"/>
      <c r="FE157" s="39"/>
      <c r="FF157" s="39"/>
      <c r="FG157" s="39"/>
      <c r="FH157" s="39"/>
      <c r="FI157" s="39"/>
      <c r="FJ157" s="19">
        <f t="shared" si="793"/>
        <v>0</v>
      </c>
      <c r="FK157" s="19">
        <f t="shared" si="794"/>
        <v>0</v>
      </c>
      <c r="FL157" s="19">
        <f t="shared" si="795"/>
        <v>0</v>
      </c>
      <c r="FM157" s="19"/>
      <c r="FN157" s="19"/>
      <c r="FO157" s="22"/>
      <c r="FP157" s="22"/>
      <c r="FQ157" s="22"/>
      <c r="FR157" s="22"/>
      <c r="FS157" s="22"/>
      <c r="FT157" s="22"/>
      <c r="FU157" s="40"/>
      <c r="FV157" s="19"/>
      <c r="FW157" s="19"/>
      <c r="FX157" s="19"/>
      <c r="FY157" s="19"/>
      <c r="FZ157" s="19"/>
      <c r="GA157" s="19"/>
      <c r="GB157" s="19"/>
      <c r="GC157" s="20"/>
      <c r="GD157" s="20"/>
      <c r="GE157" s="21"/>
      <c r="GF157" s="21"/>
      <c r="GG157" s="21"/>
      <c r="GH157" s="21"/>
      <c r="GI157" s="21"/>
      <c r="GJ157" s="21"/>
      <c r="GK157" s="21"/>
      <c r="GL157" s="21"/>
      <c r="GM157" s="19"/>
      <c r="GN157" s="19"/>
      <c r="GO157" s="22"/>
      <c r="GP157" s="22"/>
      <c r="GQ157" s="22"/>
      <c r="GR157" s="22"/>
      <c r="GS157" s="22"/>
      <c r="GT157" s="22"/>
      <c r="GU157" s="43"/>
      <c r="GV157" s="19"/>
      <c r="GW157" s="19"/>
      <c r="GX157" s="19"/>
      <c r="GY157" s="19"/>
      <c r="GZ157" s="23"/>
      <c r="HA157" s="22"/>
      <c r="HB157" s="22"/>
      <c r="HC157" s="22"/>
      <c r="HD157" s="22"/>
      <c r="HE157" s="22"/>
      <c r="HF157" s="22"/>
      <c r="HG157" s="233"/>
    </row>
    <row r="158" spans="2:215" ht="15.75">
      <c r="B158" s="10"/>
      <c r="C158" s="184" t="s">
        <v>308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143"/>
      <c r="N158" s="46"/>
      <c r="O158" s="73"/>
      <c r="P158" s="73"/>
      <c r="Q158" s="73"/>
      <c r="R158" s="46"/>
      <c r="S158" s="73"/>
      <c r="T158" s="73"/>
      <c r="U158" s="73"/>
      <c r="V158" s="52"/>
      <c r="W158" s="52"/>
      <c r="X158" s="52"/>
      <c r="Y158" s="22"/>
      <c r="Z158" s="22"/>
      <c r="AA158" s="22"/>
      <c r="AB158" s="22"/>
      <c r="AC158" s="22"/>
      <c r="AD158" s="22"/>
      <c r="AE158" s="22"/>
      <c r="AF158" s="22"/>
      <c r="AG158" s="22"/>
      <c r="AH158" s="52"/>
      <c r="AI158" s="52"/>
      <c r="AJ158" s="52"/>
      <c r="AK158" s="52"/>
      <c r="AL158" s="22"/>
      <c r="AM158" s="52"/>
      <c r="AN158" s="22"/>
      <c r="AO158" s="22"/>
      <c r="AP158" s="22"/>
      <c r="AQ158" s="22"/>
      <c r="AR158" s="22"/>
      <c r="AS158" s="22"/>
      <c r="AT158" s="22"/>
      <c r="AU158" s="22"/>
      <c r="AV158" s="77"/>
      <c r="AW158" s="77"/>
      <c r="AX158" s="78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40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19"/>
      <c r="CX158" s="19"/>
      <c r="CY158" s="19"/>
      <c r="CZ158" s="19"/>
      <c r="DA158" s="21"/>
      <c r="DB158" s="21"/>
      <c r="DC158" s="79"/>
      <c r="DD158" s="79"/>
      <c r="DE158" s="79"/>
      <c r="DF158" s="79"/>
      <c r="DG158" s="79"/>
      <c r="DH158" s="51"/>
      <c r="DI158" s="39"/>
      <c r="DJ158" s="80"/>
      <c r="DK158" s="39"/>
      <c r="DL158" s="39"/>
      <c r="DM158" s="48"/>
      <c r="DN158" s="39"/>
      <c r="DO158" s="39"/>
      <c r="DP158" s="39"/>
      <c r="DQ158" s="39"/>
      <c r="DR158" s="39"/>
      <c r="DS158" s="39"/>
      <c r="DT158" s="39"/>
      <c r="DU158" s="19"/>
      <c r="DV158" s="40"/>
      <c r="DW158" s="40"/>
      <c r="DX158" s="46"/>
      <c r="DY158" s="21"/>
      <c r="DZ158" s="19"/>
      <c r="EA158" s="19"/>
      <c r="EB158" s="19"/>
      <c r="EC158" s="48"/>
      <c r="ED158" s="48"/>
      <c r="EE158" s="22">
        <v>28.07</v>
      </c>
      <c r="EF158" s="22">
        <v>29.78</v>
      </c>
      <c r="EG158" s="22">
        <f t="shared" si="786"/>
        <v>106.09191307445671</v>
      </c>
      <c r="EH158" s="22">
        <v>33.119999999999997</v>
      </c>
      <c r="EI158" s="22">
        <v>35.14</v>
      </c>
      <c r="EJ158" s="22">
        <f t="shared" si="787"/>
        <v>106.09903381642513</v>
      </c>
      <c r="EK158" s="40" t="s">
        <v>309</v>
      </c>
      <c r="EL158" s="19">
        <v>749.49</v>
      </c>
      <c r="EM158" s="19">
        <v>84</v>
      </c>
      <c r="EN158" s="40">
        <f t="shared" si="788"/>
        <v>2501.4915254237289</v>
      </c>
      <c r="EO158" s="40">
        <f t="shared" si="789"/>
        <v>2501.52</v>
      </c>
      <c r="EP158" s="40"/>
      <c r="EQ158" s="21">
        <f t="shared" si="790"/>
        <v>99.998861709030081</v>
      </c>
      <c r="ER158" s="21"/>
      <c r="ES158" s="21">
        <f t="shared" si="791"/>
        <v>21038.184300000001</v>
      </c>
      <c r="ET158" s="21"/>
      <c r="EU158" s="19">
        <f t="shared" si="792"/>
        <v>22319.8122</v>
      </c>
      <c r="EV158" s="21"/>
      <c r="EW158" s="39"/>
      <c r="EX158" s="39">
        <f t="shared" si="768"/>
        <v>0</v>
      </c>
      <c r="EY158" s="39">
        <f t="shared" si="867"/>
        <v>0</v>
      </c>
      <c r="EZ158" s="39"/>
      <c r="FA158" s="39"/>
      <c r="FB158" s="39"/>
      <c r="FC158" s="39"/>
      <c r="FD158" s="39"/>
      <c r="FE158" s="39"/>
      <c r="FF158" s="39"/>
      <c r="FG158" s="39"/>
      <c r="FH158" s="39"/>
      <c r="FI158" s="39"/>
      <c r="FJ158" s="19"/>
      <c r="FK158" s="19"/>
      <c r="FL158" s="19">
        <f t="shared" si="795"/>
        <v>0</v>
      </c>
      <c r="FM158" s="19">
        <v>749.49</v>
      </c>
      <c r="FN158" s="19">
        <v>84</v>
      </c>
      <c r="FO158" s="22">
        <v>34.1</v>
      </c>
      <c r="FP158" s="22">
        <v>34.79</v>
      </c>
      <c r="FQ158" s="22"/>
      <c r="FR158" s="22">
        <v>40.92</v>
      </c>
      <c r="FS158" s="22">
        <v>41.75</v>
      </c>
      <c r="FT158" s="22"/>
      <c r="FU158" s="240" t="s">
        <v>668</v>
      </c>
      <c r="FV158" s="19"/>
      <c r="FW158" s="19"/>
      <c r="FX158" s="19"/>
      <c r="FY158" s="19"/>
      <c r="FZ158" s="19"/>
      <c r="GA158" s="19"/>
      <c r="GB158" s="19"/>
      <c r="GC158" s="20"/>
      <c r="GD158" s="20"/>
      <c r="GE158" s="21"/>
      <c r="GF158" s="21"/>
      <c r="GG158" s="21"/>
      <c r="GH158" s="21"/>
      <c r="GI158" s="21"/>
      <c r="GJ158" s="21"/>
      <c r="GK158" s="21"/>
      <c r="GL158" s="21"/>
      <c r="GM158" s="19"/>
      <c r="GN158" s="19"/>
      <c r="GO158" s="22" t="s">
        <v>633</v>
      </c>
      <c r="GP158" s="22" t="s">
        <v>633</v>
      </c>
      <c r="GQ158" s="22"/>
      <c r="GR158" s="22" t="s">
        <v>633</v>
      </c>
      <c r="GS158" s="22" t="s">
        <v>633</v>
      </c>
      <c r="GT158" s="22"/>
      <c r="GU158" s="240" t="s">
        <v>633</v>
      </c>
      <c r="GV158" s="19"/>
      <c r="GW158" s="19"/>
      <c r="GX158" s="19"/>
      <c r="GY158" s="19"/>
      <c r="GZ158" s="23"/>
      <c r="HA158" s="22" t="s">
        <v>633</v>
      </c>
      <c r="HB158" s="22" t="s">
        <v>633</v>
      </c>
      <c r="HC158" s="22"/>
      <c r="HD158" s="22" t="s">
        <v>633</v>
      </c>
      <c r="HE158" s="22" t="s">
        <v>633</v>
      </c>
      <c r="HF158" s="22"/>
      <c r="HG158" s="240" t="s">
        <v>633</v>
      </c>
    </row>
    <row r="159" spans="2:215" ht="15.75">
      <c r="B159" s="10"/>
      <c r="C159" s="184" t="s">
        <v>310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143"/>
      <c r="N159" s="46"/>
      <c r="O159" s="73"/>
      <c r="P159" s="73"/>
      <c r="Q159" s="73"/>
      <c r="R159" s="46"/>
      <c r="S159" s="73"/>
      <c r="T159" s="73"/>
      <c r="U159" s="73"/>
      <c r="V159" s="52"/>
      <c r="W159" s="52"/>
      <c r="X159" s="52"/>
      <c r="Y159" s="22"/>
      <c r="Z159" s="22"/>
      <c r="AA159" s="22"/>
      <c r="AB159" s="22"/>
      <c r="AC159" s="22"/>
      <c r="AD159" s="22"/>
      <c r="AE159" s="22"/>
      <c r="AF159" s="22"/>
      <c r="AG159" s="22"/>
      <c r="AH159" s="52"/>
      <c r="AI159" s="52"/>
      <c r="AJ159" s="52"/>
      <c r="AK159" s="52"/>
      <c r="AL159" s="22"/>
      <c r="AM159" s="52"/>
      <c r="AN159" s="22"/>
      <c r="AO159" s="22"/>
      <c r="AP159" s="22"/>
      <c r="AQ159" s="22"/>
      <c r="AR159" s="22"/>
      <c r="AS159" s="22"/>
      <c r="AT159" s="22"/>
      <c r="AU159" s="22"/>
      <c r="AV159" s="77"/>
      <c r="AW159" s="77"/>
      <c r="AX159" s="78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40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19"/>
      <c r="CX159" s="19"/>
      <c r="CY159" s="19"/>
      <c r="CZ159" s="19"/>
      <c r="DA159" s="21"/>
      <c r="DB159" s="21"/>
      <c r="DC159" s="79"/>
      <c r="DD159" s="79"/>
      <c r="DE159" s="79"/>
      <c r="DF159" s="79"/>
      <c r="DG159" s="79"/>
      <c r="DH159" s="51"/>
      <c r="DI159" s="39"/>
      <c r="DJ159" s="80"/>
      <c r="DK159" s="39"/>
      <c r="DL159" s="39"/>
      <c r="DM159" s="48"/>
      <c r="DN159" s="39"/>
      <c r="DO159" s="39"/>
      <c r="DP159" s="39"/>
      <c r="DQ159" s="39"/>
      <c r="DR159" s="39"/>
      <c r="DS159" s="39"/>
      <c r="DT159" s="39"/>
      <c r="DU159" s="19"/>
      <c r="DV159" s="40"/>
      <c r="DW159" s="40"/>
      <c r="DX159" s="46"/>
      <c r="DY159" s="21"/>
      <c r="DZ159" s="19"/>
      <c r="EA159" s="19"/>
      <c r="EB159" s="19"/>
      <c r="EC159" s="48"/>
      <c r="ED159" s="48"/>
      <c r="EE159" s="22">
        <v>42.17</v>
      </c>
      <c r="EF159" s="22">
        <v>44.74</v>
      </c>
      <c r="EG159" s="22">
        <f t="shared" si="786"/>
        <v>106.09437989091772</v>
      </c>
      <c r="EH159" s="22">
        <v>23.82</v>
      </c>
      <c r="EI159" s="22">
        <v>25.83</v>
      </c>
      <c r="EJ159" s="22">
        <f t="shared" si="787"/>
        <v>108.43828715365238</v>
      </c>
      <c r="EK159" s="40" t="s">
        <v>309</v>
      </c>
      <c r="EL159" s="19">
        <v>558.654</v>
      </c>
      <c r="EM159" s="19">
        <v>117.6</v>
      </c>
      <c r="EN159" s="40">
        <f t="shared" si="788"/>
        <v>2574.2440677966101</v>
      </c>
      <c r="EO159" s="40">
        <f t="shared" si="789"/>
        <v>5261.424</v>
      </c>
      <c r="EP159" s="40"/>
      <c r="EQ159" s="21">
        <f t="shared" si="790"/>
        <v>48.926755718539511</v>
      </c>
      <c r="ER159" s="21"/>
      <c r="ES159" s="21">
        <f t="shared" si="791"/>
        <v>23558.439180000001</v>
      </c>
      <c r="ET159" s="21"/>
      <c r="EU159" s="19">
        <f t="shared" si="792"/>
        <v>24994.179960000001</v>
      </c>
      <c r="EV159" s="21"/>
      <c r="EW159" s="39"/>
      <c r="EX159" s="39">
        <f t="shared" si="768"/>
        <v>0</v>
      </c>
      <c r="EY159" s="39">
        <f t="shared" si="867"/>
        <v>0</v>
      </c>
      <c r="EZ159" s="39"/>
      <c r="FA159" s="39"/>
      <c r="FB159" s="39"/>
      <c r="FC159" s="39"/>
      <c r="FD159" s="39"/>
      <c r="FE159" s="39"/>
      <c r="FF159" s="39"/>
      <c r="FG159" s="39"/>
      <c r="FH159" s="39"/>
      <c r="FI159" s="39"/>
      <c r="FJ159" s="19">
        <f t="shared" si="793"/>
        <v>2585.2665762711863</v>
      </c>
      <c r="FK159" s="19">
        <f t="shared" si="794"/>
        <v>2687.1799322033903</v>
      </c>
      <c r="FL159" s="19">
        <f t="shared" si="795"/>
        <v>5272.4465084745771</v>
      </c>
      <c r="FM159" s="19">
        <v>558.654</v>
      </c>
      <c r="FN159" s="19">
        <v>117.6</v>
      </c>
      <c r="FO159" s="22">
        <v>42.67</v>
      </c>
      <c r="FP159" s="22">
        <v>44.93</v>
      </c>
      <c r="FQ159" s="22"/>
      <c r="FR159" s="22">
        <v>32.83</v>
      </c>
      <c r="FS159" s="22">
        <v>33.72</v>
      </c>
      <c r="FT159" s="22"/>
      <c r="FU159" s="240"/>
      <c r="FV159" s="19"/>
      <c r="FW159" s="19"/>
      <c r="FX159" s="19"/>
      <c r="FY159" s="19"/>
      <c r="FZ159" s="19"/>
      <c r="GA159" s="19"/>
      <c r="GB159" s="19"/>
      <c r="GC159" s="20"/>
      <c r="GD159" s="20"/>
      <c r="GE159" s="21"/>
      <c r="GF159" s="21"/>
      <c r="GG159" s="21"/>
      <c r="GH159" s="21"/>
      <c r="GI159" s="21"/>
      <c r="GJ159" s="21"/>
      <c r="GK159" s="21"/>
      <c r="GL159" s="21"/>
      <c r="GM159" s="19"/>
      <c r="GN159" s="19"/>
      <c r="GO159" s="22" t="s">
        <v>633</v>
      </c>
      <c r="GP159" s="22" t="s">
        <v>633</v>
      </c>
      <c r="GQ159" s="22"/>
      <c r="GR159" s="22" t="s">
        <v>633</v>
      </c>
      <c r="GS159" s="22" t="s">
        <v>633</v>
      </c>
      <c r="GT159" s="22"/>
      <c r="GU159" s="240"/>
      <c r="GV159" s="19"/>
      <c r="GW159" s="19"/>
      <c r="GX159" s="19"/>
      <c r="GY159" s="19"/>
      <c r="GZ159" s="23"/>
      <c r="HA159" s="22" t="s">
        <v>633</v>
      </c>
      <c r="HB159" s="22" t="s">
        <v>633</v>
      </c>
      <c r="HC159" s="22"/>
      <c r="HD159" s="22" t="s">
        <v>633</v>
      </c>
      <c r="HE159" s="22" t="s">
        <v>633</v>
      </c>
      <c r="HF159" s="22"/>
      <c r="HG159" s="240"/>
    </row>
    <row r="160" spans="2:215" ht="15.75">
      <c r="B160" s="10"/>
      <c r="C160" s="184" t="s">
        <v>311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143"/>
      <c r="N160" s="46"/>
      <c r="O160" s="73"/>
      <c r="P160" s="73"/>
      <c r="Q160" s="73"/>
      <c r="R160" s="46"/>
      <c r="S160" s="73"/>
      <c r="T160" s="73"/>
      <c r="U160" s="73"/>
      <c r="V160" s="52"/>
      <c r="W160" s="52"/>
      <c r="X160" s="52"/>
      <c r="Y160" s="22"/>
      <c r="Z160" s="22"/>
      <c r="AA160" s="22"/>
      <c r="AB160" s="22"/>
      <c r="AC160" s="22"/>
      <c r="AD160" s="22"/>
      <c r="AE160" s="22"/>
      <c r="AF160" s="22"/>
      <c r="AG160" s="22"/>
      <c r="AH160" s="52"/>
      <c r="AI160" s="52"/>
      <c r="AJ160" s="52"/>
      <c r="AK160" s="52"/>
      <c r="AL160" s="22"/>
      <c r="AM160" s="52"/>
      <c r="AN160" s="22"/>
      <c r="AO160" s="22"/>
      <c r="AP160" s="22"/>
      <c r="AQ160" s="22"/>
      <c r="AR160" s="22"/>
      <c r="AS160" s="22"/>
      <c r="AT160" s="22"/>
      <c r="AU160" s="22"/>
      <c r="AV160" s="77"/>
      <c r="AW160" s="77"/>
      <c r="AX160" s="78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40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19"/>
      <c r="CX160" s="19"/>
      <c r="CY160" s="19"/>
      <c r="CZ160" s="19"/>
      <c r="DA160" s="21"/>
      <c r="DB160" s="21"/>
      <c r="DC160" s="79"/>
      <c r="DD160" s="79"/>
      <c r="DE160" s="79"/>
      <c r="DF160" s="79"/>
      <c r="DG160" s="79"/>
      <c r="DH160" s="51"/>
      <c r="DI160" s="39"/>
      <c r="DJ160" s="80"/>
      <c r="DK160" s="39"/>
      <c r="DL160" s="39"/>
      <c r="DM160" s="48"/>
      <c r="DN160" s="39"/>
      <c r="DO160" s="39"/>
      <c r="DP160" s="39"/>
      <c r="DQ160" s="39"/>
      <c r="DR160" s="39"/>
      <c r="DS160" s="39"/>
      <c r="DT160" s="39"/>
      <c r="DU160" s="19"/>
      <c r="DV160" s="40"/>
      <c r="DW160" s="40"/>
      <c r="DX160" s="46"/>
      <c r="DY160" s="21"/>
      <c r="DZ160" s="19"/>
      <c r="EA160" s="19"/>
      <c r="EB160" s="19"/>
      <c r="EC160" s="48"/>
      <c r="ED160" s="48"/>
      <c r="EE160" s="22">
        <v>42.7</v>
      </c>
      <c r="EF160" s="22">
        <v>45.45</v>
      </c>
      <c r="EG160" s="22">
        <f t="shared" si="786"/>
        <v>106.44028103044496</v>
      </c>
      <c r="EH160" s="22"/>
      <c r="EI160" s="22"/>
      <c r="EJ160" s="22">
        <f t="shared" si="787"/>
        <v>0</v>
      </c>
      <c r="EK160" s="40" t="s">
        <v>312</v>
      </c>
      <c r="EL160" s="19">
        <v>277.11</v>
      </c>
      <c r="EM160" s="19"/>
      <c r="EN160" s="40">
        <f t="shared" si="788"/>
        <v>0</v>
      </c>
      <c r="EO160" s="40">
        <f t="shared" si="789"/>
        <v>0</v>
      </c>
      <c r="EP160" s="40"/>
      <c r="EQ160" s="21">
        <f t="shared" si="790"/>
        <v>0</v>
      </c>
      <c r="ER160" s="21"/>
      <c r="ES160" s="21">
        <f t="shared" si="791"/>
        <v>11832.597000000002</v>
      </c>
      <c r="ET160" s="21"/>
      <c r="EU160" s="19">
        <f t="shared" si="792"/>
        <v>12594.649500000001</v>
      </c>
      <c r="EV160" s="21"/>
      <c r="EW160" s="39"/>
      <c r="EX160" s="39">
        <f t="shared" si="768"/>
        <v>0</v>
      </c>
      <c r="EY160" s="39">
        <f t="shared" si="867"/>
        <v>0</v>
      </c>
      <c r="EZ160" s="39"/>
      <c r="FA160" s="39"/>
      <c r="FB160" s="39"/>
      <c r="FC160" s="39"/>
      <c r="FD160" s="39"/>
      <c r="FE160" s="39"/>
      <c r="FF160" s="39"/>
      <c r="FG160" s="39"/>
      <c r="FH160" s="39"/>
      <c r="FI160" s="39"/>
      <c r="FJ160" s="19">
        <f t="shared" si="793"/>
        <v>0</v>
      </c>
      <c r="FK160" s="19">
        <f t="shared" si="794"/>
        <v>0</v>
      </c>
      <c r="FL160" s="19">
        <f t="shared" si="795"/>
        <v>0</v>
      </c>
      <c r="FM160" s="19">
        <v>287.65300000000002</v>
      </c>
      <c r="FN160" s="19"/>
      <c r="FO160" s="22">
        <v>52.31</v>
      </c>
      <c r="FP160" s="22">
        <v>53.35</v>
      </c>
      <c r="FQ160" s="22"/>
      <c r="FR160" s="22" t="s">
        <v>633</v>
      </c>
      <c r="FS160" s="22" t="s">
        <v>633</v>
      </c>
      <c r="FT160" s="22"/>
      <c r="FU160" s="240" t="s">
        <v>669</v>
      </c>
      <c r="FV160" s="19"/>
      <c r="FW160" s="19"/>
      <c r="FX160" s="19"/>
      <c r="FY160" s="19"/>
      <c r="FZ160" s="19"/>
      <c r="GA160" s="19"/>
      <c r="GB160" s="19"/>
      <c r="GC160" s="20"/>
      <c r="GD160" s="20"/>
      <c r="GE160" s="21"/>
      <c r="GF160" s="21"/>
      <c r="GG160" s="21"/>
      <c r="GH160" s="21"/>
      <c r="GI160" s="21"/>
      <c r="GJ160" s="21"/>
      <c r="GK160" s="21"/>
      <c r="GL160" s="21"/>
      <c r="GM160" s="19"/>
      <c r="GN160" s="19"/>
      <c r="GO160" s="22">
        <v>53.35</v>
      </c>
      <c r="GP160" s="22">
        <v>55.07</v>
      </c>
      <c r="GQ160" s="22"/>
      <c r="GR160" s="22" t="s">
        <v>633</v>
      </c>
      <c r="GS160" s="22" t="s">
        <v>633</v>
      </c>
      <c r="GT160" s="22"/>
      <c r="GU160" s="240" t="s">
        <v>669</v>
      </c>
      <c r="GV160" s="19"/>
      <c r="GW160" s="19"/>
      <c r="GX160" s="19"/>
      <c r="GY160" s="19"/>
      <c r="GZ160" s="23"/>
      <c r="HA160" s="22">
        <v>55.07</v>
      </c>
      <c r="HB160" s="22">
        <v>56.58</v>
      </c>
      <c r="HC160" s="22"/>
      <c r="HD160" s="22" t="s">
        <v>633</v>
      </c>
      <c r="HE160" s="22" t="s">
        <v>633</v>
      </c>
      <c r="HF160" s="22"/>
      <c r="HG160" s="240" t="s">
        <v>669</v>
      </c>
    </row>
    <row r="161" spans="2:215" ht="15.75">
      <c r="B161" s="10"/>
      <c r="C161" s="184" t="s">
        <v>186</v>
      </c>
      <c r="D161" s="73"/>
      <c r="E161" s="73"/>
      <c r="F161" s="73"/>
      <c r="G161" s="73"/>
      <c r="H161" s="73"/>
      <c r="I161" s="73"/>
      <c r="J161" s="73"/>
      <c r="K161" s="73"/>
      <c r="L161" s="73"/>
      <c r="M161" s="143">
        <f t="shared" si="807"/>
        <v>0</v>
      </c>
      <c r="N161" s="46">
        <f t="shared" si="808"/>
        <v>0</v>
      </c>
      <c r="O161" s="73"/>
      <c r="P161" s="73"/>
      <c r="Q161" s="73"/>
      <c r="R161" s="46">
        <f t="shared" si="809"/>
        <v>0</v>
      </c>
      <c r="S161" s="73"/>
      <c r="T161" s="73"/>
      <c r="U161" s="73"/>
      <c r="V161" s="52"/>
      <c r="W161" s="52">
        <v>4.26</v>
      </c>
      <c r="X161" s="52">
        <f t="shared" si="694"/>
        <v>0</v>
      </c>
      <c r="Y161" s="22">
        <v>4.26</v>
      </c>
      <c r="Z161" s="22">
        <f t="shared" si="852"/>
        <v>100</v>
      </c>
      <c r="AA161" s="22">
        <v>4.26</v>
      </c>
      <c r="AB161" s="22">
        <f t="shared" si="853"/>
        <v>100</v>
      </c>
      <c r="AC161" s="22">
        <v>4.26</v>
      </c>
      <c r="AD161" s="22">
        <v>4.26</v>
      </c>
      <c r="AE161" s="22">
        <f t="shared" si="810"/>
        <v>110.56338028169014</v>
      </c>
      <c r="AF161" s="22">
        <v>4.71</v>
      </c>
      <c r="AG161" s="22">
        <f t="shared" si="773"/>
        <v>110.56338028169014</v>
      </c>
      <c r="AH161" s="52"/>
      <c r="AI161" s="52"/>
      <c r="AJ161" s="52">
        <f t="shared" si="854"/>
        <v>0</v>
      </c>
      <c r="AK161" s="52"/>
      <c r="AL161" s="22">
        <f t="shared" si="855"/>
        <v>0</v>
      </c>
      <c r="AM161" s="52"/>
      <c r="AN161" s="22">
        <f t="shared" si="856"/>
        <v>0</v>
      </c>
      <c r="AO161" s="22">
        <f t="shared" si="695"/>
        <v>0</v>
      </c>
      <c r="AP161" s="22">
        <f t="shared" si="857"/>
        <v>0</v>
      </c>
      <c r="AQ161" s="22"/>
      <c r="AR161" s="22"/>
      <c r="AS161" s="22">
        <f t="shared" si="811"/>
        <v>0</v>
      </c>
      <c r="AT161" s="22"/>
      <c r="AU161" s="22">
        <f t="shared" si="774"/>
        <v>0</v>
      </c>
      <c r="AV161" s="77"/>
      <c r="AW161" s="77">
        <f>+CY161/$CY$138*100</f>
        <v>0</v>
      </c>
      <c r="AX161" s="78" t="s">
        <v>313</v>
      </c>
      <c r="AY161" s="22">
        <f t="shared" si="775"/>
        <v>1399.12</v>
      </c>
      <c r="AZ161" s="22"/>
      <c r="BA161" s="22"/>
      <c r="BB161" s="22">
        <f>+[3]БПр!$Q$768/1000</f>
        <v>1399.12</v>
      </c>
      <c r="BC161" s="22">
        <v>4.71</v>
      </c>
      <c r="BD161" s="22">
        <v>4.9000000000000004</v>
      </c>
      <c r="BE161" s="22">
        <f t="shared" si="776"/>
        <v>104.03397027600849</v>
      </c>
      <c r="BF161" s="22"/>
      <c r="BG161" s="22"/>
      <c r="BH161" s="22">
        <f t="shared" si="777"/>
        <v>0</v>
      </c>
      <c r="BI161" s="22"/>
      <c r="BJ161" s="40" t="s">
        <v>314</v>
      </c>
      <c r="BK161" s="19">
        <f t="shared" si="812"/>
        <v>0</v>
      </c>
      <c r="BL161" s="19">
        <f t="shared" si="858"/>
        <v>0</v>
      </c>
      <c r="BM161" s="19">
        <f t="shared" si="859"/>
        <v>0</v>
      </c>
      <c r="BN161" s="19">
        <f t="shared" si="860"/>
        <v>0</v>
      </c>
      <c r="BO161" s="19">
        <f t="shared" si="813"/>
        <v>0</v>
      </c>
      <c r="BP161" s="19">
        <f t="shared" si="861"/>
        <v>0</v>
      </c>
      <c r="BQ161" s="19">
        <f t="shared" si="814"/>
        <v>0</v>
      </c>
      <c r="BR161" s="19">
        <f t="shared" si="862"/>
        <v>0</v>
      </c>
      <c r="BS161" s="19">
        <f t="shared" si="815"/>
        <v>0</v>
      </c>
      <c r="BT161" s="19">
        <f t="shared" si="863"/>
        <v>0</v>
      </c>
      <c r="BU161" s="19">
        <f t="shared" si="816"/>
        <v>0</v>
      </c>
      <c r="BV161" s="19">
        <f t="shared" si="864"/>
        <v>0</v>
      </c>
      <c r="BW161" s="19">
        <f t="shared" si="865"/>
        <v>0</v>
      </c>
      <c r="BX161" s="19">
        <f t="shared" si="817"/>
        <v>0</v>
      </c>
      <c r="BY161" s="19">
        <f t="shared" si="818"/>
        <v>0</v>
      </c>
      <c r="BZ161" s="19">
        <f t="shared" si="819"/>
        <v>0</v>
      </c>
      <c r="CA161" s="19">
        <f t="shared" si="866"/>
        <v>0</v>
      </c>
      <c r="CB161" s="19">
        <f t="shared" si="820"/>
        <v>0</v>
      </c>
      <c r="CC161" s="19">
        <f t="shared" si="821"/>
        <v>0</v>
      </c>
      <c r="CD161" s="19">
        <f t="shared" si="747"/>
        <v>0</v>
      </c>
      <c r="CE161" s="48">
        <f t="shared" si="822"/>
        <v>0</v>
      </c>
      <c r="CF161" s="48">
        <f t="shared" si="823"/>
        <v>0</v>
      </c>
      <c r="CG161" s="48">
        <f t="shared" si="824"/>
        <v>0</v>
      </c>
      <c r="CH161" s="48">
        <f t="shared" si="825"/>
        <v>0</v>
      </c>
      <c r="CI161" s="48">
        <f t="shared" si="826"/>
        <v>0</v>
      </c>
      <c r="CJ161" s="48">
        <f t="shared" si="827"/>
        <v>0</v>
      </c>
      <c r="CK161" s="48">
        <f t="shared" si="828"/>
        <v>0</v>
      </c>
      <c r="CL161" s="48">
        <f t="shared" si="829"/>
        <v>0</v>
      </c>
      <c r="CM161" s="48">
        <f t="shared" si="830"/>
        <v>0</v>
      </c>
      <c r="CN161" s="48">
        <f t="shared" si="831"/>
        <v>0</v>
      </c>
      <c r="CO161" s="48">
        <f t="shared" si="832"/>
        <v>0</v>
      </c>
      <c r="CP161" s="48">
        <f t="shared" si="833"/>
        <v>0</v>
      </c>
      <c r="CQ161" s="48">
        <f t="shared" si="834"/>
        <v>0</v>
      </c>
      <c r="CR161" s="48">
        <f t="shared" si="835"/>
        <v>0</v>
      </c>
      <c r="CS161" s="48">
        <f t="shared" si="836"/>
        <v>0</v>
      </c>
      <c r="CT161" s="48">
        <f t="shared" si="837"/>
        <v>0</v>
      </c>
      <c r="CU161" s="48">
        <f t="shared" si="838"/>
        <v>0</v>
      </c>
      <c r="CV161" s="48">
        <f t="shared" si="839"/>
        <v>0</v>
      </c>
      <c r="CW161" s="19">
        <f t="shared" si="840"/>
        <v>0</v>
      </c>
      <c r="CX161" s="19">
        <f t="shared" si="841"/>
        <v>0</v>
      </c>
      <c r="CY161" s="19">
        <f t="shared" si="842"/>
        <v>0</v>
      </c>
      <c r="CZ161" s="19">
        <f t="shared" si="843"/>
        <v>0</v>
      </c>
      <c r="DA161" s="21">
        <f t="shared" si="844"/>
        <v>0</v>
      </c>
      <c r="DB161" s="21">
        <f t="shared" si="845"/>
        <v>0</v>
      </c>
      <c r="DC161" s="79">
        <f t="shared" si="846"/>
        <v>0</v>
      </c>
      <c r="DD161" s="79">
        <f t="shared" si="846"/>
        <v>0</v>
      </c>
      <c r="DE161" s="79">
        <f t="shared" si="847"/>
        <v>0</v>
      </c>
      <c r="DF161" s="79">
        <f t="shared" si="847"/>
        <v>0</v>
      </c>
      <c r="DG161" s="79">
        <f t="shared" si="764"/>
        <v>0</v>
      </c>
      <c r="DH161" s="51">
        <f t="shared" si="848"/>
        <v>0</v>
      </c>
      <c r="DI161" s="39"/>
      <c r="DJ161" s="80">
        <f t="shared" si="849"/>
        <v>0</v>
      </c>
      <c r="DK161" s="39">
        <f t="shared" si="850"/>
        <v>0</v>
      </c>
      <c r="DL161" s="39">
        <f t="shared" si="851"/>
        <v>0</v>
      </c>
      <c r="DM161" s="48">
        <f>+AT161-'[2]тарифы (12-13) население 15%'!AP220</f>
        <v>0</v>
      </c>
      <c r="DN161" s="39"/>
      <c r="DO161" s="39"/>
      <c r="DP161" s="39"/>
      <c r="DQ161" s="39"/>
      <c r="DR161" s="39"/>
      <c r="DS161" s="39"/>
      <c r="DT161" s="39"/>
      <c r="DU161" s="19">
        <f t="shared" si="778"/>
        <v>0</v>
      </c>
      <c r="DV161" s="40">
        <f t="shared" si="779"/>
        <v>0</v>
      </c>
      <c r="DW161" s="40">
        <f t="shared" si="780"/>
        <v>0</v>
      </c>
      <c r="DX161" s="46"/>
      <c r="DY161" s="21">
        <f t="shared" si="781"/>
        <v>0</v>
      </c>
      <c r="DZ161" s="19">
        <f t="shared" si="782"/>
        <v>6.5898551999999988</v>
      </c>
      <c r="EA161" s="19">
        <f t="shared" si="783"/>
        <v>6.8556879999999998</v>
      </c>
      <c r="EB161" s="19"/>
      <c r="EC161" s="48">
        <f t="shared" si="784"/>
        <v>0</v>
      </c>
      <c r="ED161" s="48">
        <f t="shared" si="785"/>
        <v>0</v>
      </c>
      <c r="EE161" s="22">
        <v>4.9000000000000004</v>
      </c>
      <c r="EF161" s="22">
        <v>5.19</v>
      </c>
      <c r="EG161" s="22">
        <f t="shared" si="786"/>
        <v>105.91836734693878</v>
      </c>
      <c r="EH161" s="22"/>
      <c r="EI161" s="22"/>
      <c r="EJ161" s="22">
        <f t="shared" si="787"/>
        <v>0</v>
      </c>
      <c r="EK161" s="40" t="s">
        <v>315</v>
      </c>
      <c r="EL161" s="19">
        <v>833.57</v>
      </c>
      <c r="EM161" s="19"/>
      <c r="EN161" s="40">
        <f t="shared" si="788"/>
        <v>0</v>
      </c>
      <c r="EO161" s="40">
        <f t="shared" si="789"/>
        <v>0</v>
      </c>
      <c r="EP161" s="40"/>
      <c r="EQ161" s="21">
        <f t="shared" si="790"/>
        <v>0</v>
      </c>
      <c r="ER161" s="21"/>
      <c r="ES161" s="21">
        <f t="shared" si="791"/>
        <v>4084.4930000000004</v>
      </c>
      <c r="ET161" s="21"/>
      <c r="EU161" s="19">
        <f t="shared" si="792"/>
        <v>4326.2283000000007</v>
      </c>
      <c r="EV161" s="21"/>
      <c r="EW161" s="39"/>
      <c r="EX161" s="39">
        <f t="shared" si="768"/>
        <v>6855.6880000000001</v>
      </c>
      <c r="EY161" s="39">
        <f t="shared" si="867"/>
        <v>7261.4327999999996</v>
      </c>
      <c r="EZ161" s="39"/>
      <c r="FA161" s="39"/>
      <c r="FB161" s="39"/>
      <c r="FC161" s="39"/>
      <c r="FD161" s="39"/>
      <c r="FE161" s="39"/>
      <c r="FF161" s="39"/>
      <c r="FG161" s="39"/>
      <c r="FH161" s="39"/>
      <c r="FI161" s="39"/>
      <c r="FJ161" s="19">
        <f t="shared" si="793"/>
        <v>0</v>
      </c>
      <c r="FK161" s="19">
        <f t="shared" si="794"/>
        <v>0</v>
      </c>
      <c r="FL161" s="19">
        <f t="shared" si="795"/>
        <v>0</v>
      </c>
      <c r="FM161" s="19">
        <v>841.18299999999999</v>
      </c>
      <c r="FN161" s="19"/>
      <c r="FO161" s="22">
        <v>6.23</v>
      </c>
      <c r="FP161" s="22">
        <v>6.35</v>
      </c>
      <c r="FQ161" s="22"/>
      <c r="FR161" s="22" t="s">
        <v>633</v>
      </c>
      <c r="FS161" s="22" t="s">
        <v>633</v>
      </c>
      <c r="FT161" s="22"/>
      <c r="FU161" s="240"/>
      <c r="FV161" s="19"/>
      <c r="FW161" s="19"/>
      <c r="FX161" s="19"/>
      <c r="FY161" s="19"/>
      <c r="FZ161" s="19"/>
      <c r="GA161" s="19"/>
      <c r="GB161" s="19"/>
      <c r="GC161" s="20"/>
      <c r="GD161" s="20"/>
      <c r="GE161" s="21"/>
      <c r="GF161" s="21"/>
      <c r="GG161" s="21"/>
      <c r="GH161" s="21"/>
      <c r="GI161" s="21"/>
      <c r="GJ161" s="21"/>
      <c r="GK161" s="21"/>
      <c r="GL161" s="21"/>
      <c r="GM161" s="19"/>
      <c r="GN161" s="19"/>
      <c r="GO161" s="22">
        <v>6.35</v>
      </c>
      <c r="GP161" s="22">
        <v>6.58</v>
      </c>
      <c r="GQ161" s="22"/>
      <c r="GR161" s="22" t="s">
        <v>633</v>
      </c>
      <c r="GS161" s="22" t="s">
        <v>633</v>
      </c>
      <c r="GT161" s="22"/>
      <c r="GU161" s="240"/>
      <c r="GV161" s="19"/>
      <c r="GW161" s="19"/>
      <c r="GX161" s="19"/>
      <c r="GY161" s="19"/>
      <c r="GZ161" s="23"/>
      <c r="HA161" s="22">
        <v>6.58</v>
      </c>
      <c r="HB161" s="22">
        <v>6.83</v>
      </c>
      <c r="HC161" s="22"/>
      <c r="HD161" s="22" t="s">
        <v>633</v>
      </c>
      <c r="HE161" s="22" t="s">
        <v>633</v>
      </c>
      <c r="HF161" s="22"/>
      <c r="HG161" s="240"/>
    </row>
    <row r="162" spans="2:215" ht="15.75">
      <c r="B162" s="10" t="s">
        <v>316</v>
      </c>
      <c r="C162" s="81" t="s">
        <v>317</v>
      </c>
      <c r="D162" s="73"/>
      <c r="E162" s="73"/>
      <c r="F162" s="73"/>
      <c r="G162" s="73"/>
      <c r="H162" s="73"/>
      <c r="I162" s="73"/>
      <c r="J162" s="73"/>
      <c r="K162" s="73"/>
      <c r="L162" s="73"/>
      <c r="M162" s="143">
        <f t="shared" si="807"/>
        <v>0</v>
      </c>
      <c r="N162" s="46">
        <f t="shared" si="808"/>
        <v>0</v>
      </c>
      <c r="O162" s="73"/>
      <c r="P162" s="73"/>
      <c r="Q162" s="73"/>
      <c r="R162" s="46">
        <f t="shared" si="809"/>
        <v>0</v>
      </c>
      <c r="S162" s="73"/>
      <c r="T162" s="73"/>
      <c r="U162" s="73"/>
      <c r="V162" s="52"/>
      <c r="W162" s="52"/>
      <c r="X162" s="52"/>
      <c r="Y162" s="22"/>
      <c r="Z162" s="22">
        <f t="shared" si="852"/>
        <v>0</v>
      </c>
      <c r="AA162" s="22"/>
      <c r="AB162" s="22">
        <f t="shared" si="853"/>
        <v>0</v>
      </c>
      <c r="AC162" s="22"/>
      <c r="AD162" s="22"/>
      <c r="AE162" s="22">
        <f t="shared" si="810"/>
        <v>0</v>
      </c>
      <c r="AF162" s="22"/>
      <c r="AG162" s="22">
        <f t="shared" si="773"/>
        <v>0</v>
      </c>
      <c r="AH162" s="52"/>
      <c r="AI162" s="52"/>
      <c r="AJ162" s="52"/>
      <c r="AK162" s="52"/>
      <c r="AL162" s="22"/>
      <c r="AM162" s="52"/>
      <c r="AN162" s="22"/>
      <c r="AO162" s="22"/>
      <c r="AP162" s="22"/>
      <c r="AQ162" s="22"/>
      <c r="AR162" s="22"/>
      <c r="AS162" s="22">
        <f t="shared" si="811"/>
        <v>0</v>
      </c>
      <c r="AT162" s="22"/>
      <c r="AU162" s="22">
        <f t="shared" si="774"/>
        <v>0</v>
      </c>
      <c r="AV162" s="77"/>
      <c r="AW162" s="77">
        <f>+CY162/$CY$138*100</f>
        <v>0</v>
      </c>
      <c r="AX162" s="78"/>
      <c r="AY162" s="22">
        <f t="shared" si="775"/>
        <v>0</v>
      </c>
      <c r="AZ162" s="22"/>
      <c r="BA162" s="22"/>
      <c r="BB162" s="22"/>
      <c r="BC162" s="22"/>
      <c r="BD162" s="22"/>
      <c r="BE162" s="22">
        <f t="shared" si="776"/>
        <v>0</v>
      </c>
      <c r="BF162" s="22"/>
      <c r="BG162" s="22"/>
      <c r="BH162" s="22">
        <f t="shared" si="777"/>
        <v>0</v>
      </c>
      <c r="BI162" s="22"/>
      <c r="BJ162" s="40"/>
      <c r="BK162" s="19">
        <f t="shared" si="812"/>
        <v>0</v>
      </c>
      <c r="BL162" s="19">
        <f t="shared" si="858"/>
        <v>0</v>
      </c>
      <c r="BM162" s="19">
        <f t="shared" si="859"/>
        <v>0</v>
      </c>
      <c r="BN162" s="19">
        <f t="shared" si="860"/>
        <v>0</v>
      </c>
      <c r="BO162" s="19">
        <f t="shared" si="813"/>
        <v>0</v>
      </c>
      <c r="BP162" s="19">
        <f t="shared" si="861"/>
        <v>0</v>
      </c>
      <c r="BQ162" s="19">
        <f t="shared" si="814"/>
        <v>0</v>
      </c>
      <c r="BR162" s="19">
        <f t="shared" si="862"/>
        <v>0</v>
      </c>
      <c r="BS162" s="19">
        <f t="shared" si="815"/>
        <v>0</v>
      </c>
      <c r="BT162" s="19">
        <f t="shared" si="863"/>
        <v>0</v>
      </c>
      <c r="BU162" s="19">
        <f t="shared" si="816"/>
        <v>0</v>
      </c>
      <c r="BV162" s="19">
        <f t="shared" si="864"/>
        <v>0</v>
      </c>
      <c r="BW162" s="19">
        <f t="shared" si="865"/>
        <v>0</v>
      </c>
      <c r="BX162" s="19">
        <f t="shared" si="817"/>
        <v>0</v>
      </c>
      <c r="BY162" s="19">
        <f t="shared" si="818"/>
        <v>0</v>
      </c>
      <c r="BZ162" s="19">
        <f t="shared" si="819"/>
        <v>0</v>
      </c>
      <c r="CA162" s="19">
        <f t="shared" si="866"/>
        <v>0</v>
      </c>
      <c r="CB162" s="19">
        <f t="shared" si="820"/>
        <v>0</v>
      </c>
      <c r="CC162" s="19">
        <f t="shared" si="821"/>
        <v>0</v>
      </c>
      <c r="CD162" s="19">
        <f t="shared" si="747"/>
        <v>0</v>
      </c>
      <c r="CE162" s="48">
        <f t="shared" si="822"/>
        <v>0</v>
      </c>
      <c r="CF162" s="48">
        <f t="shared" si="823"/>
        <v>0</v>
      </c>
      <c r="CG162" s="48">
        <f t="shared" si="824"/>
        <v>0</v>
      </c>
      <c r="CH162" s="48">
        <f t="shared" si="825"/>
        <v>0</v>
      </c>
      <c r="CI162" s="48">
        <f t="shared" si="826"/>
        <v>0</v>
      </c>
      <c r="CJ162" s="48">
        <f t="shared" si="827"/>
        <v>0</v>
      </c>
      <c r="CK162" s="48">
        <f t="shared" si="828"/>
        <v>0</v>
      </c>
      <c r="CL162" s="48">
        <f t="shared" si="829"/>
        <v>0</v>
      </c>
      <c r="CM162" s="48">
        <f t="shared" si="830"/>
        <v>0</v>
      </c>
      <c r="CN162" s="48">
        <f t="shared" si="831"/>
        <v>0</v>
      </c>
      <c r="CO162" s="48">
        <f t="shared" si="832"/>
        <v>0</v>
      </c>
      <c r="CP162" s="48">
        <f t="shared" si="833"/>
        <v>0</v>
      </c>
      <c r="CQ162" s="48">
        <f t="shared" si="834"/>
        <v>0</v>
      </c>
      <c r="CR162" s="48">
        <f t="shared" si="835"/>
        <v>0</v>
      </c>
      <c r="CS162" s="48">
        <f t="shared" si="836"/>
        <v>0</v>
      </c>
      <c r="CT162" s="48">
        <f t="shared" si="837"/>
        <v>0</v>
      </c>
      <c r="CU162" s="48">
        <f t="shared" si="838"/>
        <v>0</v>
      </c>
      <c r="CV162" s="48">
        <f t="shared" si="839"/>
        <v>0</v>
      </c>
      <c r="CW162" s="19">
        <f t="shared" si="840"/>
        <v>0</v>
      </c>
      <c r="CX162" s="19">
        <f t="shared" si="841"/>
        <v>0</v>
      </c>
      <c r="CY162" s="19">
        <f t="shared" si="842"/>
        <v>0</v>
      </c>
      <c r="CZ162" s="19">
        <f t="shared" si="843"/>
        <v>0</v>
      </c>
      <c r="DA162" s="21">
        <f t="shared" si="844"/>
        <v>0</v>
      </c>
      <c r="DB162" s="21">
        <f t="shared" si="845"/>
        <v>0</v>
      </c>
      <c r="DC162" s="79">
        <f t="shared" si="846"/>
        <v>0</v>
      </c>
      <c r="DD162" s="79">
        <f t="shared" si="846"/>
        <v>0</v>
      </c>
      <c r="DE162" s="79">
        <f t="shared" si="847"/>
        <v>0</v>
      </c>
      <c r="DF162" s="79">
        <f t="shared" si="847"/>
        <v>0</v>
      </c>
      <c r="DG162" s="79">
        <f t="shared" si="764"/>
        <v>0</v>
      </c>
      <c r="DH162" s="51">
        <f t="shared" si="848"/>
        <v>0</v>
      </c>
      <c r="DI162" s="39"/>
      <c r="DJ162" s="80">
        <f t="shared" si="849"/>
        <v>0</v>
      </c>
      <c r="DK162" s="39">
        <f t="shared" si="850"/>
        <v>0</v>
      </c>
      <c r="DL162" s="39">
        <f t="shared" si="851"/>
        <v>0</v>
      </c>
      <c r="DM162" s="48">
        <f>+AT162-'[2]тарифы (12-13) население 15%'!AP221</f>
        <v>0</v>
      </c>
      <c r="DN162" s="39"/>
      <c r="DO162" s="39"/>
      <c r="DP162" s="39"/>
      <c r="DQ162" s="39"/>
      <c r="DR162" s="39"/>
      <c r="DS162" s="39"/>
      <c r="DT162" s="39"/>
      <c r="DU162" s="19">
        <f t="shared" si="778"/>
        <v>0</v>
      </c>
      <c r="DV162" s="40">
        <f t="shared" si="779"/>
        <v>0</v>
      </c>
      <c r="DW162" s="40">
        <f t="shared" si="780"/>
        <v>0</v>
      </c>
      <c r="DX162" s="46"/>
      <c r="DY162" s="21">
        <f t="shared" si="781"/>
        <v>0</v>
      </c>
      <c r="DZ162" s="19">
        <f t="shared" si="782"/>
        <v>0</v>
      </c>
      <c r="EA162" s="19">
        <f t="shared" si="783"/>
        <v>0</v>
      </c>
      <c r="EB162" s="19"/>
      <c r="EC162" s="48">
        <f t="shared" si="784"/>
        <v>0</v>
      </c>
      <c r="ED162" s="48">
        <f t="shared" si="785"/>
        <v>0</v>
      </c>
      <c r="EE162" s="22"/>
      <c r="EF162" s="22"/>
      <c r="EG162" s="22">
        <f t="shared" si="786"/>
        <v>0</v>
      </c>
      <c r="EH162" s="22"/>
      <c r="EI162" s="22"/>
      <c r="EJ162" s="22">
        <f t="shared" si="787"/>
        <v>0</v>
      </c>
      <c r="EK162" s="40"/>
      <c r="EL162" s="19"/>
      <c r="EM162" s="19"/>
      <c r="EN162" s="40">
        <f t="shared" si="788"/>
        <v>0</v>
      </c>
      <c r="EO162" s="40">
        <f t="shared" si="789"/>
        <v>0</v>
      </c>
      <c r="EP162" s="40"/>
      <c r="EQ162" s="21">
        <f t="shared" si="790"/>
        <v>0</v>
      </c>
      <c r="ER162" s="21"/>
      <c r="ES162" s="21">
        <f t="shared" si="791"/>
        <v>0</v>
      </c>
      <c r="ET162" s="21"/>
      <c r="EU162" s="19">
        <f t="shared" si="792"/>
        <v>0</v>
      </c>
      <c r="EV162" s="21"/>
      <c r="EW162" s="39"/>
      <c r="EX162" s="39">
        <f t="shared" si="768"/>
        <v>0</v>
      </c>
      <c r="EY162" s="39">
        <f t="shared" si="867"/>
        <v>0</v>
      </c>
      <c r="EZ162" s="39"/>
      <c r="FA162" s="39"/>
      <c r="FB162" s="39"/>
      <c r="FC162" s="39"/>
      <c r="FD162" s="39"/>
      <c r="FE162" s="39"/>
      <c r="FF162" s="39"/>
      <c r="FG162" s="39"/>
      <c r="FH162" s="39"/>
      <c r="FI162" s="39"/>
      <c r="FJ162" s="19">
        <f t="shared" si="793"/>
        <v>0</v>
      </c>
      <c r="FK162" s="19">
        <f t="shared" si="794"/>
        <v>0</v>
      </c>
      <c r="FL162" s="19">
        <f t="shared" si="795"/>
        <v>0</v>
      </c>
      <c r="FM162" s="19"/>
      <c r="FN162" s="19"/>
      <c r="FO162" s="22"/>
      <c r="FP162" s="22"/>
      <c r="FQ162" s="22"/>
      <c r="FR162" s="22"/>
      <c r="FS162" s="22"/>
      <c r="FT162" s="22"/>
      <c r="FU162" s="40"/>
      <c r="FV162" s="19"/>
      <c r="FW162" s="19"/>
      <c r="FX162" s="19"/>
      <c r="FY162" s="19"/>
      <c r="FZ162" s="19"/>
      <c r="GA162" s="19"/>
      <c r="GB162" s="19"/>
      <c r="GC162" s="20"/>
      <c r="GD162" s="20"/>
      <c r="GE162" s="21"/>
      <c r="GF162" s="21"/>
      <c r="GG162" s="21"/>
      <c r="GH162" s="21"/>
      <c r="GI162" s="21"/>
      <c r="GJ162" s="21"/>
      <c r="GK162" s="21"/>
      <c r="GL162" s="21"/>
      <c r="GM162" s="19"/>
      <c r="GN162" s="19"/>
      <c r="GO162" s="22"/>
      <c r="GP162" s="22"/>
      <c r="GQ162" s="22"/>
      <c r="GR162" s="22"/>
      <c r="GS162" s="22"/>
      <c r="GT162" s="22"/>
      <c r="GU162" s="43"/>
      <c r="GV162" s="19"/>
      <c r="GW162" s="19"/>
      <c r="GX162" s="19"/>
      <c r="GY162" s="19"/>
      <c r="GZ162" s="23"/>
      <c r="HA162" s="22"/>
      <c r="HB162" s="22"/>
      <c r="HC162" s="22"/>
      <c r="HD162" s="22"/>
      <c r="HE162" s="22"/>
      <c r="HF162" s="22"/>
      <c r="HG162" s="233"/>
    </row>
    <row r="163" spans="2:215" ht="15.75">
      <c r="B163" s="10"/>
      <c r="C163" s="184" t="s">
        <v>228</v>
      </c>
      <c r="D163" s="73">
        <v>10100</v>
      </c>
      <c r="E163" s="73">
        <v>10000</v>
      </c>
      <c r="F163" s="74" t="e">
        <f>+E163*#REF!</f>
        <v>#REF!</v>
      </c>
      <c r="G163" s="74" t="e">
        <f>+E163*#REF!</f>
        <v>#REF!</v>
      </c>
      <c r="H163" s="74" t="e">
        <f>+E163*#REF!</f>
        <v>#REF!</v>
      </c>
      <c r="I163" s="73">
        <v>100</v>
      </c>
      <c r="J163" s="74" t="e">
        <f>+I163*#REF!</f>
        <v>#REF!</v>
      </c>
      <c r="K163" s="74" t="e">
        <f>+I163*#REF!</f>
        <v>#REF!</v>
      </c>
      <c r="L163" s="74" t="e">
        <f>+I163*#REF!</f>
        <v>#REF!</v>
      </c>
      <c r="M163" s="143">
        <f t="shared" si="807"/>
        <v>5143</v>
      </c>
      <c r="N163" s="19">
        <f>+O163+Q163</f>
        <v>5043</v>
      </c>
      <c r="O163" s="74">
        <v>2521.5</v>
      </c>
      <c r="P163" s="74"/>
      <c r="Q163" s="74">
        <v>2521.5</v>
      </c>
      <c r="R163" s="46">
        <f t="shared" si="809"/>
        <v>100</v>
      </c>
      <c r="S163" s="74">
        <v>50</v>
      </c>
      <c r="T163" s="74"/>
      <c r="U163" s="74">
        <v>50</v>
      </c>
      <c r="V163" s="52"/>
      <c r="W163" s="52"/>
      <c r="X163" s="52"/>
      <c r="Y163" s="22">
        <v>22.64</v>
      </c>
      <c r="Z163" s="22">
        <f t="shared" si="852"/>
        <v>0</v>
      </c>
      <c r="AA163" s="22">
        <v>22.64</v>
      </c>
      <c r="AB163" s="22">
        <f t="shared" si="853"/>
        <v>100</v>
      </c>
      <c r="AC163" s="22">
        <v>22.64</v>
      </c>
      <c r="AD163" s="22">
        <v>22.64</v>
      </c>
      <c r="AE163" s="22">
        <f t="shared" si="810"/>
        <v>110.46819787985866</v>
      </c>
      <c r="AF163" s="22">
        <v>25.01</v>
      </c>
      <c r="AG163" s="22">
        <f t="shared" si="773"/>
        <v>110.46819787985866</v>
      </c>
      <c r="AH163" s="52"/>
      <c r="AI163" s="52"/>
      <c r="AJ163" s="52"/>
      <c r="AK163" s="52">
        <v>22.64</v>
      </c>
      <c r="AL163" s="22"/>
      <c r="AM163" s="52">
        <v>22.64</v>
      </c>
      <c r="AN163" s="22"/>
      <c r="AO163" s="22"/>
      <c r="AP163" s="22"/>
      <c r="AQ163" s="22">
        <v>22.64</v>
      </c>
      <c r="AR163" s="22">
        <v>22.64</v>
      </c>
      <c r="AS163" s="22">
        <f t="shared" si="811"/>
        <v>110.46819787985866</v>
      </c>
      <c r="AT163" s="22">
        <v>25.01</v>
      </c>
      <c r="AU163" s="22">
        <f t="shared" si="774"/>
        <v>110.46819787985866</v>
      </c>
      <c r="AV163" s="77"/>
      <c r="AW163" s="77">
        <f>+CY163/$CY$138*100</f>
        <v>100</v>
      </c>
      <c r="AX163" s="78" t="s">
        <v>313</v>
      </c>
      <c r="AY163" s="22">
        <f t="shared" si="775"/>
        <v>10</v>
      </c>
      <c r="AZ163" s="22">
        <f>+[3]БПр!$AC$852/1000</f>
        <v>10</v>
      </c>
      <c r="BA163" s="22"/>
      <c r="BB163" s="22"/>
      <c r="BC163" s="22">
        <v>25.01</v>
      </c>
      <c r="BD163" s="22">
        <v>26.06</v>
      </c>
      <c r="BE163" s="22">
        <f t="shared" si="776"/>
        <v>104.1983206717313</v>
      </c>
      <c r="BF163" s="22">
        <v>25.01</v>
      </c>
      <c r="BG163" s="22">
        <v>26.06</v>
      </c>
      <c r="BH163" s="22">
        <f t="shared" si="777"/>
        <v>104.1983206717313</v>
      </c>
      <c r="BI163" s="22"/>
      <c r="BJ163" s="40" t="s">
        <v>318</v>
      </c>
      <c r="BK163" s="19">
        <f t="shared" si="812"/>
        <v>0</v>
      </c>
      <c r="BL163" s="19">
        <f t="shared" si="858"/>
        <v>0</v>
      </c>
      <c r="BM163" s="19">
        <f t="shared" si="859"/>
        <v>0</v>
      </c>
      <c r="BN163" s="19">
        <f t="shared" si="860"/>
        <v>0</v>
      </c>
      <c r="BO163" s="19">
        <f t="shared" si="813"/>
        <v>194.12840677966105</v>
      </c>
      <c r="BP163" s="19">
        <f t="shared" si="861"/>
        <v>191.86440677966104</v>
      </c>
      <c r="BQ163" s="19">
        <f>+(Y163-AK163)*E163/1000</f>
        <v>0</v>
      </c>
      <c r="BR163" s="19">
        <f t="shared" si="862"/>
        <v>2.2639999999999998</v>
      </c>
      <c r="BS163" s="19">
        <f t="shared" si="815"/>
        <v>194.12840677966105</v>
      </c>
      <c r="BT163" s="19">
        <f t="shared" si="863"/>
        <v>191.86440677966104</v>
      </c>
      <c r="BU163" s="19">
        <f>+(AA163-AM163)*E163/1000</f>
        <v>0</v>
      </c>
      <c r="BV163" s="19">
        <f t="shared" si="864"/>
        <v>2.2639999999999998</v>
      </c>
      <c r="BW163" s="19">
        <f t="shared" si="865"/>
        <v>116.41957033898306</v>
      </c>
      <c r="BX163" s="19">
        <f t="shared" si="817"/>
        <v>96.757220338983075</v>
      </c>
      <c r="BY163" s="19">
        <f t="shared" si="818"/>
        <v>17.398349999999994</v>
      </c>
      <c r="BZ163" s="19">
        <f t="shared" si="819"/>
        <v>2.2639999999999998</v>
      </c>
      <c r="CA163" s="19">
        <f t="shared" si="866"/>
        <v>128.65121762711865</v>
      </c>
      <c r="CB163" s="19">
        <f t="shared" si="820"/>
        <v>106.88595762711866</v>
      </c>
      <c r="CC163" s="19">
        <f t="shared" si="821"/>
        <v>19.264260000000004</v>
      </c>
      <c r="CD163" s="19">
        <f t="shared" si="747"/>
        <v>2.5009999999999999</v>
      </c>
      <c r="CE163" s="48">
        <f t="shared" si="822"/>
        <v>0</v>
      </c>
      <c r="CF163" s="48">
        <f t="shared" si="823"/>
        <v>22.639999999999997</v>
      </c>
      <c r="CG163" s="48">
        <f t="shared" si="824"/>
        <v>22.639999999999997</v>
      </c>
      <c r="CH163" s="48">
        <f t="shared" si="825"/>
        <v>0</v>
      </c>
      <c r="CI163" s="48">
        <f t="shared" si="826"/>
        <v>22.64</v>
      </c>
      <c r="CJ163" s="48">
        <f t="shared" si="827"/>
        <v>22.64</v>
      </c>
      <c r="CK163" s="48">
        <f t="shared" si="828"/>
        <v>0</v>
      </c>
      <c r="CL163" s="48">
        <f t="shared" si="829"/>
        <v>19.220634334619906</v>
      </c>
      <c r="CM163" s="48">
        <f t="shared" si="830"/>
        <v>19.220634334619906</v>
      </c>
      <c r="CN163" s="48">
        <f t="shared" si="831"/>
        <v>12.813756223079936</v>
      </c>
      <c r="CO163" s="48">
        <f t="shared" si="832"/>
        <v>22.639999999999997</v>
      </c>
      <c r="CP163" s="48">
        <f t="shared" si="833"/>
        <v>25.009999999999998</v>
      </c>
      <c r="CQ163" s="48">
        <f t="shared" si="834"/>
        <v>22.640000000000004</v>
      </c>
      <c r="CR163" s="48">
        <f t="shared" si="835"/>
        <v>25.01</v>
      </c>
      <c r="CS163" s="48">
        <f t="shared" si="836"/>
        <v>22.636509885083232</v>
      </c>
      <c r="CT163" s="48">
        <f t="shared" si="837"/>
        <v>25.014819682504111</v>
      </c>
      <c r="CU163" s="48">
        <f t="shared" si="838"/>
        <v>23.825664783793673</v>
      </c>
      <c r="CV163" s="48">
        <f t="shared" si="839"/>
        <v>185.9381774477593</v>
      </c>
      <c r="CW163" s="19" t="e">
        <f t="shared" si="840"/>
        <v>#REF!</v>
      </c>
      <c r="CX163" s="19" t="e">
        <f t="shared" si="841"/>
        <v>#REF!</v>
      </c>
      <c r="CY163" s="19">
        <f t="shared" si="842"/>
        <v>101.82158898305086</v>
      </c>
      <c r="CZ163" s="19">
        <f t="shared" si="843"/>
        <v>120.14947500000001</v>
      </c>
      <c r="DA163" s="21" t="e">
        <f t="shared" si="844"/>
        <v>#REF!</v>
      </c>
      <c r="DB163" s="21">
        <f t="shared" si="845"/>
        <v>84.745762711864415</v>
      </c>
      <c r="DC163" s="79" t="e">
        <f>+IF(CW163=0,,CY163/CW163*100)</f>
        <v>#REF!</v>
      </c>
      <c r="DD163" s="79" t="e">
        <f t="shared" si="846"/>
        <v>#REF!</v>
      </c>
      <c r="DE163" s="79">
        <f t="shared" si="847"/>
        <v>58.218760000000003</v>
      </c>
      <c r="DF163" s="79">
        <f t="shared" si="847"/>
        <v>0</v>
      </c>
      <c r="DG163" s="79">
        <f t="shared" si="764"/>
        <v>64.313215</v>
      </c>
      <c r="DH163" s="51">
        <f t="shared" si="848"/>
        <v>122.531975</v>
      </c>
      <c r="DI163" s="39"/>
      <c r="DJ163" s="80" t="e">
        <f t="shared" si="849"/>
        <v>#REF!</v>
      </c>
      <c r="DK163" s="39" t="e">
        <f t="shared" si="850"/>
        <v>#REF!</v>
      </c>
      <c r="DL163" s="39" t="e">
        <f t="shared" si="851"/>
        <v>#REF!</v>
      </c>
      <c r="DM163" s="48">
        <f>+AT163-'[2]тарифы (12-13) население 15%'!AP222</f>
        <v>0</v>
      </c>
      <c r="DN163" s="39"/>
      <c r="DO163" s="39"/>
      <c r="DP163" s="39"/>
      <c r="DQ163" s="39"/>
      <c r="DR163" s="39"/>
      <c r="DS163" s="39"/>
      <c r="DT163" s="39"/>
      <c r="DU163" s="19">
        <f t="shared" si="778"/>
        <v>211.9491525423729</v>
      </c>
      <c r="DV163" s="40">
        <f>+(BG163*AZ163)</f>
        <v>260.59999999999997</v>
      </c>
      <c r="DW163" s="40">
        <f t="shared" si="780"/>
        <v>260.59999999999997</v>
      </c>
      <c r="DX163" s="46"/>
      <c r="DY163" s="21">
        <f t="shared" si="781"/>
        <v>100</v>
      </c>
      <c r="DZ163" s="19">
        <f t="shared" si="782"/>
        <v>0.25010000000000004</v>
      </c>
      <c r="EA163" s="19">
        <f t="shared" si="783"/>
        <v>0.26059999999999994</v>
      </c>
      <c r="EB163" s="19"/>
      <c r="EC163" s="48">
        <f>+(BC163-BF163)*AZ163/2</f>
        <v>0</v>
      </c>
      <c r="ED163" s="48">
        <f>+(BD163-BG163)*AZ163/2</f>
        <v>0</v>
      </c>
      <c r="EE163" s="22">
        <v>26.06</v>
      </c>
      <c r="EF163" s="22">
        <v>27.62</v>
      </c>
      <c r="EG163" s="22">
        <f t="shared" si="786"/>
        <v>105.98618572524943</v>
      </c>
      <c r="EH163" s="22">
        <v>26.06</v>
      </c>
      <c r="EI163" s="22">
        <v>27.62</v>
      </c>
      <c r="EJ163" s="22">
        <f t="shared" si="787"/>
        <v>105.98618572524943</v>
      </c>
      <c r="EK163" s="40" t="s">
        <v>319</v>
      </c>
      <c r="EL163" s="19">
        <v>7.5</v>
      </c>
      <c r="EM163" s="19">
        <v>6</v>
      </c>
      <c r="EN163" s="40">
        <f>+(EI163*EM163)</f>
        <v>165.72</v>
      </c>
      <c r="EO163" s="40">
        <f t="shared" si="789"/>
        <v>165.72</v>
      </c>
      <c r="EP163" s="40"/>
      <c r="EQ163" s="21">
        <f t="shared" si="790"/>
        <v>100</v>
      </c>
      <c r="ER163" s="21"/>
      <c r="ES163" s="21">
        <f t="shared" si="791"/>
        <v>195.45</v>
      </c>
      <c r="ET163" s="21"/>
      <c r="EU163" s="19">
        <f t="shared" si="792"/>
        <v>207.15</v>
      </c>
      <c r="EV163" s="21"/>
      <c r="EW163" s="39"/>
      <c r="EX163" s="39">
        <f t="shared" si="768"/>
        <v>260.59999999999997</v>
      </c>
      <c r="EY163" s="39">
        <f t="shared" si="867"/>
        <v>276.2</v>
      </c>
      <c r="EZ163" s="39"/>
      <c r="FA163" s="39"/>
      <c r="FB163" s="39"/>
      <c r="FC163" s="39"/>
      <c r="FD163" s="39"/>
      <c r="FE163" s="39"/>
      <c r="FF163" s="39"/>
      <c r="FG163" s="39"/>
      <c r="FH163" s="39"/>
      <c r="FI163" s="39"/>
      <c r="FJ163" s="19">
        <f>+(EE163-EH163)*EM163</f>
        <v>0</v>
      </c>
      <c r="FK163" s="19">
        <f>+(EF163-EI163)*EM163</f>
        <v>0</v>
      </c>
      <c r="FL163" s="19">
        <f t="shared" si="795"/>
        <v>0</v>
      </c>
      <c r="FM163" s="19">
        <v>7</v>
      </c>
      <c r="FN163" s="19">
        <v>6</v>
      </c>
      <c r="FO163" s="22">
        <v>32.11</v>
      </c>
      <c r="FP163" s="22">
        <v>31.78</v>
      </c>
      <c r="FQ163" s="22"/>
      <c r="FR163" s="22">
        <v>32.11</v>
      </c>
      <c r="FS163" s="22">
        <v>31.78</v>
      </c>
      <c r="FT163" s="22"/>
      <c r="FU163" s="40" t="s">
        <v>670</v>
      </c>
      <c r="FV163" s="19"/>
      <c r="FW163" s="19"/>
      <c r="FX163" s="19"/>
      <c r="FY163" s="19"/>
      <c r="FZ163" s="19"/>
      <c r="GA163" s="19"/>
      <c r="GB163" s="19"/>
      <c r="GC163" s="20"/>
      <c r="GD163" s="20"/>
      <c r="GE163" s="21"/>
      <c r="GF163" s="21"/>
      <c r="GG163" s="21"/>
      <c r="GH163" s="21"/>
      <c r="GI163" s="21"/>
      <c r="GJ163" s="21"/>
      <c r="GK163" s="21"/>
      <c r="GL163" s="21"/>
      <c r="GM163" s="19"/>
      <c r="GN163" s="19"/>
      <c r="GO163" s="22">
        <v>31.78</v>
      </c>
      <c r="GP163" s="22">
        <v>32.659999999999997</v>
      </c>
      <c r="GQ163" s="22"/>
      <c r="GR163" s="22">
        <v>31.78</v>
      </c>
      <c r="GS163" s="22">
        <v>32.659999999999997</v>
      </c>
      <c r="GT163" s="22"/>
      <c r="GU163" s="40" t="s">
        <v>670</v>
      </c>
      <c r="GV163" s="19"/>
      <c r="GW163" s="19"/>
      <c r="GX163" s="19"/>
      <c r="GY163" s="19"/>
      <c r="GZ163" s="23"/>
      <c r="HA163" s="22">
        <v>32.659999999999997</v>
      </c>
      <c r="HB163" s="22">
        <v>33.6</v>
      </c>
      <c r="HC163" s="22"/>
      <c r="HD163" s="22">
        <v>32.659999999999997</v>
      </c>
      <c r="HE163" s="22">
        <v>33.6</v>
      </c>
      <c r="HF163" s="22"/>
      <c r="HG163" s="236" t="s">
        <v>670</v>
      </c>
    </row>
    <row r="164" spans="2:215" ht="15.75">
      <c r="B164" s="10"/>
      <c r="C164" s="186" t="s">
        <v>574</v>
      </c>
      <c r="D164" s="73"/>
      <c r="E164" s="73"/>
      <c r="F164" s="73"/>
      <c r="G164" s="73"/>
      <c r="H164" s="73"/>
      <c r="I164" s="73"/>
      <c r="J164" s="73"/>
      <c r="K164" s="73"/>
      <c r="L164" s="73"/>
      <c r="M164" s="143"/>
      <c r="N164" s="46"/>
      <c r="O164" s="74"/>
      <c r="P164" s="74"/>
      <c r="Q164" s="74"/>
      <c r="R164" s="46"/>
      <c r="S164" s="74"/>
      <c r="T164" s="74"/>
      <c r="U164" s="74"/>
      <c r="V164" s="52"/>
      <c r="W164" s="52"/>
      <c r="X164" s="52"/>
      <c r="Y164" s="22"/>
      <c r="Z164" s="22"/>
      <c r="AA164" s="22"/>
      <c r="AB164" s="22"/>
      <c r="AC164" s="22"/>
      <c r="AD164" s="22"/>
      <c r="AE164" s="22"/>
      <c r="AF164" s="22"/>
      <c r="AG164" s="22"/>
      <c r="AH164" s="52"/>
      <c r="AI164" s="52"/>
      <c r="AJ164" s="52"/>
      <c r="AK164" s="52"/>
      <c r="AL164" s="22"/>
      <c r="AM164" s="52"/>
      <c r="AN164" s="22"/>
      <c r="AO164" s="22"/>
      <c r="AP164" s="22"/>
      <c r="AQ164" s="22"/>
      <c r="AR164" s="22"/>
      <c r="AS164" s="22"/>
      <c r="AT164" s="22"/>
      <c r="AU164" s="22"/>
      <c r="AV164" s="77"/>
      <c r="AW164" s="77"/>
      <c r="AX164" s="78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40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19"/>
      <c r="CX164" s="19"/>
      <c r="CY164" s="19"/>
      <c r="CZ164" s="19"/>
      <c r="DA164" s="21"/>
      <c r="DB164" s="21"/>
      <c r="DC164" s="79"/>
      <c r="DD164" s="79"/>
      <c r="DE164" s="79"/>
      <c r="DF164" s="79"/>
      <c r="DG164" s="79"/>
      <c r="DH164" s="51"/>
      <c r="DI164" s="39"/>
      <c r="DJ164" s="80"/>
      <c r="DK164" s="39"/>
      <c r="DL164" s="39"/>
      <c r="DM164" s="48"/>
      <c r="DN164" s="39"/>
      <c r="DO164" s="39"/>
      <c r="DP164" s="39"/>
      <c r="DQ164" s="39"/>
      <c r="DR164" s="39"/>
      <c r="DS164" s="39"/>
      <c r="DT164" s="39"/>
      <c r="DU164" s="19"/>
      <c r="DV164" s="40"/>
      <c r="DW164" s="40"/>
      <c r="DX164" s="46"/>
      <c r="DY164" s="21"/>
      <c r="DZ164" s="19"/>
      <c r="EA164" s="19"/>
      <c r="EB164" s="19"/>
      <c r="EC164" s="48"/>
      <c r="ED164" s="48"/>
      <c r="EE164" s="22"/>
      <c r="EF164" s="22"/>
      <c r="EG164" s="22"/>
      <c r="EH164" s="22"/>
      <c r="EI164" s="22"/>
      <c r="EJ164" s="22"/>
      <c r="EK164" s="40"/>
      <c r="EL164" s="19"/>
      <c r="EM164" s="19"/>
      <c r="EN164" s="40"/>
      <c r="EO164" s="40"/>
      <c r="EP164" s="40"/>
      <c r="EQ164" s="21"/>
      <c r="ER164" s="21"/>
      <c r="ES164" s="21"/>
      <c r="ET164" s="21"/>
      <c r="EU164" s="19"/>
      <c r="EV164" s="21"/>
      <c r="EW164" s="39"/>
      <c r="EX164" s="39"/>
      <c r="EY164" s="39"/>
      <c r="EZ164" s="39"/>
      <c r="FA164" s="39"/>
      <c r="FB164" s="39"/>
      <c r="FC164" s="39"/>
      <c r="FD164" s="39"/>
      <c r="FE164" s="39"/>
      <c r="FF164" s="39"/>
      <c r="FG164" s="39"/>
      <c r="FH164" s="39"/>
      <c r="FI164" s="39"/>
      <c r="FJ164" s="19"/>
      <c r="FK164" s="19"/>
      <c r="FL164" s="19"/>
      <c r="FM164" s="19"/>
      <c r="FN164" s="19"/>
      <c r="FO164" s="22"/>
      <c r="FP164" s="22"/>
      <c r="FQ164" s="22"/>
      <c r="FR164" s="22"/>
      <c r="FS164" s="22"/>
      <c r="FT164" s="22"/>
      <c r="FU164" s="40"/>
      <c r="FV164" s="19"/>
      <c r="FW164" s="19"/>
      <c r="FX164" s="19"/>
      <c r="FY164" s="19"/>
      <c r="FZ164" s="19"/>
      <c r="GA164" s="19"/>
      <c r="GB164" s="19"/>
      <c r="GC164" s="20"/>
      <c r="GD164" s="20"/>
      <c r="GE164" s="21"/>
      <c r="GF164" s="21"/>
      <c r="GG164" s="21"/>
      <c r="GH164" s="21"/>
      <c r="GI164" s="21"/>
      <c r="GJ164" s="21"/>
      <c r="GK164" s="21"/>
      <c r="GL164" s="21"/>
      <c r="GM164" s="19"/>
      <c r="GN164" s="19"/>
      <c r="GO164" s="22"/>
      <c r="GP164" s="22"/>
      <c r="GQ164" s="22"/>
      <c r="GR164" s="22"/>
      <c r="GS164" s="22"/>
      <c r="GT164" s="22"/>
      <c r="GU164" s="43"/>
      <c r="GV164" s="19"/>
      <c r="GW164" s="19"/>
      <c r="GX164" s="19"/>
      <c r="GY164" s="19"/>
      <c r="GZ164" s="23"/>
      <c r="HA164" s="22"/>
      <c r="HB164" s="22"/>
      <c r="HC164" s="22"/>
      <c r="HD164" s="22"/>
      <c r="HE164" s="22"/>
      <c r="HF164" s="22"/>
      <c r="HG164" s="233"/>
    </row>
    <row r="165" spans="2:215" ht="15.75">
      <c r="B165" s="10"/>
      <c r="C165" s="184" t="s">
        <v>131</v>
      </c>
      <c r="D165" s="76"/>
      <c r="E165" s="73"/>
      <c r="F165" s="74"/>
      <c r="G165" s="74"/>
      <c r="H165" s="74"/>
      <c r="I165" s="73"/>
      <c r="J165" s="73"/>
      <c r="K165" s="73"/>
      <c r="L165" s="73"/>
      <c r="M165" s="76"/>
      <c r="N165" s="73"/>
      <c r="O165" s="76"/>
      <c r="P165" s="76"/>
      <c r="Q165" s="76"/>
      <c r="R165" s="73"/>
      <c r="S165" s="74"/>
      <c r="T165" s="74"/>
      <c r="U165" s="74"/>
      <c r="V165" s="52"/>
      <c r="W165" s="52"/>
      <c r="X165" s="52"/>
      <c r="Y165" s="52"/>
      <c r="Z165" s="22"/>
      <c r="AA165" s="52"/>
      <c r="AB165" s="22"/>
      <c r="AC165" s="52"/>
      <c r="AD165" s="52"/>
      <c r="AE165" s="22"/>
      <c r="AF165" s="22"/>
      <c r="AG165" s="22"/>
      <c r="AH165" s="22"/>
      <c r="AI165" s="22"/>
      <c r="AJ165" s="5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77"/>
      <c r="AW165" s="77"/>
      <c r="AX165" s="78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40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19"/>
      <c r="CX165" s="19"/>
      <c r="CY165" s="19"/>
      <c r="CZ165" s="19"/>
      <c r="DA165" s="21"/>
      <c r="DB165" s="21"/>
      <c r="DC165" s="79"/>
      <c r="DD165" s="79"/>
      <c r="DE165" s="79"/>
      <c r="DF165" s="79"/>
      <c r="DG165" s="79"/>
      <c r="DH165" s="51"/>
      <c r="DI165" s="39"/>
      <c r="DJ165" s="80"/>
      <c r="DK165" s="39"/>
      <c r="DL165" s="39"/>
      <c r="DM165" s="48"/>
      <c r="DN165" s="39"/>
      <c r="DO165" s="39"/>
      <c r="DP165" s="39"/>
      <c r="DQ165" s="39"/>
      <c r="DR165" s="39"/>
      <c r="DS165" s="39"/>
      <c r="DT165" s="39"/>
      <c r="DU165" s="19"/>
      <c r="DV165" s="40"/>
      <c r="DW165" s="40"/>
      <c r="DX165" s="21"/>
      <c r="DY165" s="21"/>
      <c r="DZ165" s="19"/>
      <c r="EA165" s="19"/>
      <c r="EB165" s="19"/>
      <c r="EC165" s="48"/>
      <c r="ED165" s="48"/>
      <c r="EE165" s="22"/>
      <c r="EF165" s="22"/>
      <c r="EG165" s="22"/>
      <c r="EH165" s="22"/>
      <c r="EI165" s="22"/>
      <c r="EJ165" s="22"/>
      <c r="EK165" s="40"/>
      <c r="EL165" s="19"/>
      <c r="EM165" s="19"/>
      <c r="EN165" s="40"/>
      <c r="EO165" s="40"/>
      <c r="EP165" s="40"/>
      <c r="EQ165" s="21"/>
      <c r="ER165" s="21"/>
      <c r="ES165" s="19"/>
      <c r="ET165" s="19"/>
      <c r="EU165" s="19"/>
      <c r="EV165" s="21"/>
      <c r="EW165" s="166"/>
      <c r="EX165" s="39"/>
      <c r="EY165" s="39"/>
      <c r="EZ165" s="39"/>
      <c r="FA165" s="39"/>
      <c r="FB165" s="39"/>
      <c r="FC165" s="39"/>
      <c r="FD165" s="39"/>
      <c r="FE165" s="39"/>
      <c r="FF165" s="39"/>
      <c r="FG165" s="39"/>
      <c r="FH165" s="39"/>
      <c r="FI165" s="39"/>
      <c r="FJ165" s="19"/>
      <c r="FK165" s="19"/>
      <c r="FL165" s="19"/>
      <c r="FM165" s="19"/>
      <c r="FN165" s="19"/>
      <c r="FO165" s="22">
        <v>21.26</v>
      </c>
      <c r="FP165" s="22">
        <v>21.69</v>
      </c>
      <c r="FQ165" s="22"/>
      <c r="FR165" s="22">
        <v>25.51</v>
      </c>
      <c r="FS165" s="22">
        <v>26.03</v>
      </c>
      <c r="FT165" s="22"/>
      <c r="FU165" s="242" t="s">
        <v>648</v>
      </c>
      <c r="FV165" s="19"/>
      <c r="FW165" s="19"/>
      <c r="FX165" s="19"/>
      <c r="FY165" s="19"/>
      <c r="FZ165" s="19"/>
      <c r="GA165" s="19"/>
      <c r="GB165" s="19"/>
      <c r="GC165" s="20"/>
      <c r="GD165" s="20"/>
      <c r="GE165" s="19"/>
      <c r="GF165" s="19"/>
      <c r="GG165" s="19"/>
      <c r="GH165" s="19"/>
      <c r="GI165" s="19"/>
      <c r="GJ165" s="21"/>
      <c r="GK165" s="19"/>
      <c r="GL165" s="19"/>
      <c r="GM165" s="19"/>
      <c r="GN165" s="19"/>
      <c r="GO165" s="22">
        <v>21.89</v>
      </c>
      <c r="GP165" s="22">
        <v>22.66</v>
      </c>
      <c r="GQ165" s="22"/>
      <c r="GR165" s="22">
        <v>25.83</v>
      </c>
      <c r="GS165" s="22">
        <v>26.74</v>
      </c>
      <c r="GT165" s="22"/>
      <c r="GU165" s="242" t="s">
        <v>648</v>
      </c>
      <c r="GV165" s="19"/>
      <c r="GW165" s="19"/>
      <c r="GX165" s="19"/>
      <c r="GY165" s="19"/>
      <c r="GZ165" s="23"/>
      <c r="HA165" s="22" t="s">
        <v>633</v>
      </c>
      <c r="HB165" s="22" t="s">
        <v>633</v>
      </c>
      <c r="HC165" s="22"/>
      <c r="HD165" s="22" t="s">
        <v>633</v>
      </c>
      <c r="HE165" s="22" t="s">
        <v>633</v>
      </c>
      <c r="HF165" s="22"/>
      <c r="HG165" s="233" t="s">
        <v>633</v>
      </c>
    </row>
    <row r="166" spans="2:215" ht="15.75">
      <c r="B166" s="10"/>
      <c r="C166" s="184" t="s">
        <v>611</v>
      </c>
      <c r="D166" s="76"/>
      <c r="E166" s="73"/>
      <c r="F166" s="74"/>
      <c r="G166" s="74"/>
      <c r="H166" s="74"/>
      <c r="I166" s="73"/>
      <c r="J166" s="73"/>
      <c r="K166" s="73"/>
      <c r="L166" s="73"/>
      <c r="M166" s="76"/>
      <c r="N166" s="73"/>
      <c r="O166" s="76"/>
      <c r="P166" s="76"/>
      <c r="Q166" s="76"/>
      <c r="R166" s="73"/>
      <c r="S166" s="74"/>
      <c r="T166" s="74"/>
      <c r="U166" s="74"/>
      <c r="V166" s="52"/>
      <c r="W166" s="52"/>
      <c r="X166" s="52"/>
      <c r="Y166" s="52"/>
      <c r="Z166" s="22"/>
      <c r="AA166" s="52"/>
      <c r="AB166" s="22"/>
      <c r="AC166" s="52"/>
      <c r="AD166" s="52"/>
      <c r="AE166" s="22"/>
      <c r="AF166" s="22"/>
      <c r="AG166" s="22"/>
      <c r="AH166" s="22"/>
      <c r="AI166" s="22"/>
      <c r="AJ166" s="5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77"/>
      <c r="AW166" s="77"/>
      <c r="AX166" s="78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40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19"/>
      <c r="CX166" s="19"/>
      <c r="CY166" s="19"/>
      <c r="CZ166" s="19"/>
      <c r="DA166" s="21"/>
      <c r="DB166" s="21"/>
      <c r="DC166" s="79"/>
      <c r="DD166" s="79"/>
      <c r="DE166" s="79"/>
      <c r="DF166" s="79"/>
      <c r="DG166" s="79"/>
      <c r="DH166" s="51"/>
      <c r="DI166" s="39"/>
      <c r="DJ166" s="80"/>
      <c r="DK166" s="39"/>
      <c r="DL166" s="39"/>
      <c r="DM166" s="48"/>
      <c r="DN166" s="39"/>
      <c r="DO166" s="39"/>
      <c r="DP166" s="39"/>
      <c r="DQ166" s="39"/>
      <c r="DR166" s="39"/>
      <c r="DS166" s="39"/>
      <c r="DT166" s="39"/>
      <c r="DU166" s="19"/>
      <c r="DV166" s="40"/>
      <c r="DW166" s="40"/>
      <c r="DX166" s="21"/>
      <c r="DY166" s="21"/>
      <c r="DZ166" s="19"/>
      <c r="EA166" s="19"/>
      <c r="EB166" s="19"/>
      <c r="EC166" s="48"/>
      <c r="ED166" s="48"/>
      <c r="EE166" s="22"/>
      <c r="EF166" s="22"/>
      <c r="EG166" s="22"/>
      <c r="EH166" s="22"/>
      <c r="EI166" s="22"/>
      <c r="EJ166" s="22"/>
      <c r="EK166" s="40"/>
      <c r="EL166" s="19"/>
      <c r="EM166" s="19"/>
      <c r="EN166" s="40"/>
      <c r="EO166" s="40"/>
      <c r="EP166" s="40"/>
      <c r="EQ166" s="21"/>
      <c r="ER166" s="21"/>
      <c r="ES166" s="19"/>
      <c r="ET166" s="19"/>
      <c r="EU166" s="19"/>
      <c r="EV166" s="21"/>
      <c r="EW166" s="166"/>
      <c r="EX166" s="39"/>
      <c r="EY166" s="39"/>
      <c r="EZ166" s="39"/>
      <c r="FA166" s="39"/>
      <c r="FB166" s="39"/>
      <c r="FC166" s="39"/>
      <c r="FD166" s="39"/>
      <c r="FE166" s="39"/>
      <c r="FF166" s="39"/>
      <c r="FG166" s="39"/>
      <c r="FH166" s="39"/>
      <c r="FI166" s="39"/>
      <c r="FJ166" s="19"/>
      <c r="FK166" s="19"/>
      <c r="FL166" s="19"/>
      <c r="FM166" s="19"/>
      <c r="FN166" s="19"/>
      <c r="FO166" s="22">
        <v>6.42</v>
      </c>
      <c r="FP166" s="22">
        <v>6.52</v>
      </c>
      <c r="FQ166" s="22"/>
      <c r="FR166" s="22">
        <v>7.7</v>
      </c>
      <c r="FS166" s="22">
        <v>7.82</v>
      </c>
      <c r="FT166" s="22"/>
      <c r="FU166" s="242"/>
      <c r="FV166" s="19"/>
      <c r="FW166" s="19"/>
      <c r="FX166" s="19"/>
      <c r="FY166" s="19"/>
      <c r="FZ166" s="19"/>
      <c r="GA166" s="19"/>
      <c r="GB166" s="19"/>
      <c r="GC166" s="20"/>
      <c r="GD166" s="20"/>
      <c r="GE166" s="19"/>
      <c r="GF166" s="19"/>
      <c r="GG166" s="19"/>
      <c r="GH166" s="19"/>
      <c r="GI166" s="19"/>
      <c r="GJ166" s="21"/>
      <c r="GK166" s="19"/>
      <c r="GL166" s="19"/>
      <c r="GM166" s="19"/>
      <c r="GN166" s="19"/>
      <c r="GO166" s="22">
        <v>6.61</v>
      </c>
      <c r="GP166" s="22">
        <v>6.81</v>
      </c>
      <c r="GQ166" s="22"/>
      <c r="GR166" s="22">
        <v>7.8</v>
      </c>
      <c r="GS166" s="22">
        <v>8.0399999999999991</v>
      </c>
      <c r="GT166" s="22"/>
      <c r="GU166" s="242"/>
      <c r="GV166" s="19"/>
      <c r="GW166" s="19"/>
      <c r="GX166" s="19"/>
      <c r="GY166" s="19"/>
      <c r="GZ166" s="23"/>
      <c r="HA166" s="22" t="s">
        <v>633</v>
      </c>
      <c r="HB166" s="22" t="s">
        <v>633</v>
      </c>
      <c r="HC166" s="22"/>
      <c r="HD166" s="22" t="s">
        <v>633</v>
      </c>
      <c r="HE166" s="22" t="s">
        <v>633</v>
      </c>
      <c r="HF166" s="22"/>
      <c r="HG166" s="233" t="s">
        <v>633</v>
      </c>
    </row>
    <row r="167" spans="2:215" ht="15.75">
      <c r="B167" s="10"/>
      <c r="C167" s="161" t="s">
        <v>578</v>
      </c>
      <c r="D167" s="73"/>
      <c r="E167" s="73"/>
      <c r="F167" s="73"/>
      <c r="G167" s="73"/>
      <c r="H167" s="73"/>
      <c r="I167" s="73"/>
      <c r="J167" s="73"/>
      <c r="K167" s="73"/>
      <c r="L167" s="73"/>
      <c r="M167" s="143"/>
      <c r="N167" s="46"/>
      <c r="O167" s="74"/>
      <c r="P167" s="74"/>
      <c r="Q167" s="74"/>
      <c r="R167" s="46"/>
      <c r="S167" s="74"/>
      <c r="T167" s="74"/>
      <c r="U167" s="74"/>
      <c r="V167" s="52"/>
      <c r="W167" s="52"/>
      <c r="X167" s="52"/>
      <c r="Y167" s="22"/>
      <c r="Z167" s="22"/>
      <c r="AA167" s="22"/>
      <c r="AB167" s="22"/>
      <c r="AC167" s="22"/>
      <c r="AD167" s="22"/>
      <c r="AE167" s="22"/>
      <c r="AF167" s="22"/>
      <c r="AG167" s="22"/>
      <c r="AH167" s="52"/>
      <c r="AI167" s="52"/>
      <c r="AJ167" s="52"/>
      <c r="AK167" s="52"/>
      <c r="AL167" s="22"/>
      <c r="AM167" s="52"/>
      <c r="AN167" s="22"/>
      <c r="AO167" s="22"/>
      <c r="AP167" s="22"/>
      <c r="AQ167" s="22"/>
      <c r="AR167" s="22"/>
      <c r="AS167" s="22"/>
      <c r="AT167" s="22"/>
      <c r="AU167" s="22"/>
      <c r="AV167" s="77"/>
      <c r="AW167" s="77"/>
      <c r="AX167" s="78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40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19"/>
      <c r="CX167" s="19"/>
      <c r="CY167" s="19"/>
      <c r="CZ167" s="19"/>
      <c r="DA167" s="21"/>
      <c r="DB167" s="21"/>
      <c r="DC167" s="79"/>
      <c r="DD167" s="79"/>
      <c r="DE167" s="79"/>
      <c r="DF167" s="79"/>
      <c r="DG167" s="79"/>
      <c r="DH167" s="51"/>
      <c r="DI167" s="39"/>
      <c r="DJ167" s="80"/>
      <c r="DK167" s="39"/>
      <c r="DL167" s="39"/>
      <c r="DM167" s="48"/>
      <c r="DN167" s="39"/>
      <c r="DO167" s="39"/>
      <c r="DP167" s="39"/>
      <c r="DQ167" s="39"/>
      <c r="DR167" s="39"/>
      <c r="DS167" s="39"/>
      <c r="DT167" s="39"/>
      <c r="DU167" s="19"/>
      <c r="DV167" s="40"/>
      <c r="DW167" s="40"/>
      <c r="DX167" s="46"/>
      <c r="DY167" s="21"/>
      <c r="DZ167" s="19"/>
      <c r="EA167" s="19"/>
      <c r="EB167" s="19"/>
      <c r="EC167" s="48"/>
      <c r="ED167" s="48"/>
      <c r="EE167" s="22"/>
      <c r="EF167" s="22"/>
      <c r="EG167" s="22"/>
      <c r="EH167" s="22"/>
      <c r="EI167" s="22"/>
      <c r="EJ167" s="22"/>
      <c r="EK167" s="40"/>
      <c r="EL167" s="19"/>
      <c r="EM167" s="19"/>
      <c r="EN167" s="40"/>
      <c r="EO167" s="40"/>
      <c r="EP167" s="40"/>
      <c r="EQ167" s="21"/>
      <c r="ER167" s="21"/>
      <c r="ES167" s="21"/>
      <c r="ET167" s="21"/>
      <c r="EU167" s="19"/>
      <c r="EV167" s="21"/>
      <c r="EW167" s="39"/>
      <c r="EX167" s="39"/>
      <c r="EY167" s="39"/>
      <c r="EZ167" s="39"/>
      <c r="FA167" s="39"/>
      <c r="FB167" s="39"/>
      <c r="FC167" s="39"/>
      <c r="FD167" s="39"/>
      <c r="FE167" s="39"/>
      <c r="FF167" s="39"/>
      <c r="FG167" s="39"/>
      <c r="FH167" s="39"/>
      <c r="FI167" s="39"/>
      <c r="FJ167" s="19"/>
      <c r="FK167" s="19"/>
      <c r="FL167" s="19"/>
      <c r="FM167" s="19"/>
      <c r="FN167" s="19"/>
      <c r="FO167" s="22">
        <v>2862.99</v>
      </c>
      <c r="FP167" s="22">
        <v>2940.25</v>
      </c>
      <c r="FQ167" s="22"/>
      <c r="FR167" s="22">
        <v>1763.74</v>
      </c>
      <c r="FS167" s="22">
        <v>1811.18</v>
      </c>
      <c r="FT167" s="22"/>
      <c r="FU167" s="40" t="s">
        <v>647</v>
      </c>
      <c r="FV167" s="19"/>
      <c r="FW167" s="19"/>
      <c r="FX167" s="19"/>
      <c r="FY167" s="19"/>
      <c r="FZ167" s="19"/>
      <c r="GA167" s="19"/>
      <c r="GB167" s="19"/>
      <c r="GC167" s="20"/>
      <c r="GD167" s="20"/>
      <c r="GE167" s="21"/>
      <c r="GF167" s="21"/>
      <c r="GG167" s="21"/>
      <c r="GH167" s="21"/>
      <c r="GI167" s="21"/>
      <c r="GJ167" s="21"/>
      <c r="GK167" s="21"/>
      <c r="GL167" s="21"/>
      <c r="GM167" s="19"/>
      <c r="GN167" s="19"/>
      <c r="GO167" s="22">
        <v>2957.08</v>
      </c>
      <c r="GP167" s="22">
        <v>3061.89</v>
      </c>
      <c r="GQ167" s="22"/>
      <c r="GR167" s="22">
        <v>1803.81</v>
      </c>
      <c r="GS167" s="22">
        <v>1875.96</v>
      </c>
      <c r="GT167" s="22"/>
      <c r="GU167" s="40" t="s">
        <v>647</v>
      </c>
      <c r="GV167" s="19"/>
      <c r="GW167" s="19"/>
      <c r="GX167" s="19"/>
      <c r="GY167" s="19"/>
      <c r="GZ167" s="23"/>
      <c r="HA167" s="22" t="s">
        <v>633</v>
      </c>
      <c r="HB167" s="22" t="s">
        <v>633</v>
      </c>
      <c r="HC167" s="22"/>
      <c r="HD167" s="22" t="s">
        <v>633</v>
      </c>
      <c r="HE167" s="22" t="s">
        <v>633</v>
      </c>
      <c r="HF167" s="22"/>
      <c r="HG167" s="233" t="s">
        <v>633</v>
      </c>
    </row>
    <row r="168" spans="2:215" ht="15.75">
      <c r="B168" s="10" t="s">
        <v>320</v>
      </c>
      <c r="C168" s="192" t="s">
        <v>607</v>
      </c>
      <c r="D168" s="73"/>
      <c r="E168" s="73"/>
      <c r="F168" s="73"/>
      <c r="G168" s="73"/>
      <c r="H168" s="73"/>
      <c r="I168" s="73"/>
      <c r="J168" s="73"/>
      <c r="K168" s="73"/>
      <c r="L168" s="73"/>
      <c r="M168" s="143"/>
      <c r="N168" s="46"/>
      <c r="O168" s="74"/>
      <c r="P168" s="74"/>
      <c r="Q168" s="74"/>
      <c r="R168" s="46"/>
      <c r="S168" s="74"/>
      <c r="T168" s="74"/>
      <c r="U168" s="74"/>
      <c r="V168" s="52"/>
      <c r="W168" s="52"/>
      <c r="X168" s="52"/>
      <c r="Y168" s="22"/>
      <c r="Z168" s="22"/>
      <c r="AA168" s="22"/>
      <c r="AB168" s="22"/>
      <c r="AC168" s="22"/>
      <c r="AD168" s="22"/>
      <c r="AE168" s="22"/>
      <c r="AF168" s="22"/>
      <c r="AG168" s="22"/>
      <c r="AH168" s="52"/>
      <c r="AI168" s="52"/>
      <c r="AJ168" s="52"/>
      <c r="AK168" s="52"/>
      <c r="AL168" s="22"/>
      <c r="AM168" s="52"/>
      <c r="AN168" s="22"/>
      <c r="AO168" s="22"/>
      <c r="AP168" s="22"/>
      <c r="AQ168" s="22"/>
      <c r="AR168" s="22"/>
      <c r="AS168" s="22"/>
      <c r="AT168" s="22"/>
      <c r="AU168" s="22"/>
      <c r="AV168" s="77"/>
      <c r="AW168" s="77"/>
      <c r="AX168" s="78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40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19"/>
      <c r="CX168" s="19"/>
      <c r="CY168" s="19"/>
      <c r="CZ168" s="19"/>
      <c r="DA168" s="21"/>
      <c r="DB168" s="21"/>
      <c r="DC168" s="79"/>
      <c r="DD168" s="79"/>
      <c r="DE168" s="79"/>
      <c r="DF168" s="79"/>
      <c r="DG168" s="79"/>
      <c r="DH168" s="51"/>
      <c r="DI168" s="39"/>
      <c r="DJ168" s="80"/>
      <c r="DK168" s="39"/>
      <c r="DL168" s="39"/>
      <c r="DM168" s="48"/>
      <c r="DN168" s="39"/>
      <c r="DO168" s="39"/>
      <c r="DP168" s="39"/>
      <c r="DQ168" s="39"/>
      <c r="DR168" s="39"/>
      <c r="DS168" s="39"/>
      <c r="DT168" s="39"/>
      <c r="DU168" s="19"/>
      <c r="DV168" s="40"/>
      <c r="DW168" s="40"/>
      <c r="DX168" s="46"/>
      <c r="DY168" s="21"/>
      <c r="DZ168" s="19"/>
      <c r="EA168" s="19"/>
      <c r="EB168" s="19"/>
      <c r="EC168" s="48"/>
      <c r="ED168" s="48"/>
      <c r="EE168" s="22"/>
      <c r="EF168" s="22"/>
      <c r="EG168" s="22"/>
      <c r="EH168" s="22"/>
      <c r="EI168" s="22"/>
      <c r="EJ168" s="22"/>
      <c r="EK168" s="40"/>
      <c r="EL168" s="19"/>
      <c r="EM168" s="19"/>
      <c r="EN168" s="40"/>
      <c r="EO168" s="40"/>
      <c r="EP168" s="40"/>
      <c r="EQ168" s="21"/>
      <c r="ER168" s="21"/>
      <c r="ES168" s="21"/>
      <c r="ET168" s="21"/>
      <c r="EU168" s="19"/>
      <c r="EV168" s="21"/>
      <c r="EW168" s="39"/>
      <c r="EX168" s="39"/>
      <c r="EY168" s="39"/>
      <c r="EZ168" s="39"/>
      <c r="FA168" s="39"/>
      <c r="FB168" s="39"/>
      <c r="FC168" s="39"/>
      <c r="FD168" s="39"/>
      <c r="FE168" s="39"/>
      <c r="FF168" s="39"/>
      <c r="FG168" s="39"/>
      <c r="FH168" s="39"/>
      <c r="FI168" s="39"/>
      <c r="FJ168" s="19"/>
      <c r="FK168" s="19"/>
      <c r="FL168" s="19"/>
      <c r="FM168" s="19"/>
      <c r="FN168" s="19"/>
      <c r="FO168" s="22"/>
      <c r="FP168" s="22"/>
      <c r="FQ168" s="22"/>
      <c r="FR168" s="22"/>
      <c r="FS168" s="22"/>
      <c r="FT168" s="22"/>
      <c r="FU168" s="40"/>
      <c r="FV168" s="19"/>
      <c r="FW168" s="19"/>
      <c r="FX168" s="19"/>
      <c r="FY168" s="19"/>
      <c r="FZ168" s="19"/>
      <c r="GA168" s="19"/>
      <c r="GB168" s="19"/>
      <c r="GC168" s="20"/>
      <c r="GD168" s="20"/>
      <c r="GE168" s="21"/>
      <c r="GF168" s="21"/>
      <c r="GG168" s="21"/>
      <c r="GH168" s="21"/>
      <c r="GI168" s="21"/>
      <c r="GJ168" s="21"/>
      <c r="GK168" s="21"/>
      <c r="GL168" s="21"/>
      <c r="GM168" s="19"/>
      <c r="GN168" s="19"/>
      <c r="GO168" s="22"/>
      <c r="GP168" s="22"/>
      <c r="GQ168" s="22"/>
      <c r="GR168" s="22"/>
      <c r="GS168" s="22"/>
      <c r="GT168" s="22"/>
      <c r="GU168" s="43"/>
      <c r="GV168" s="19"/>
      <c r="GW168" s="19"/>
      <c r="GX168" s="19"/>
      <c r="GY168" s="19"/>
      <c r="GZ168" s="23"/>
      <c r="HA168" s="22"/>
      <c r="HB168" s="22"/>
      <c r="HC168" s="22"/>
      <c r="HD168" s="22"/>
      <c r="HE168" s="22"/>
      <c r="HF168" s="22"/>
      <c r="HG168" s="233"/>
    </row>
    <row r="169" spans="2:215" ht="15.75">
      <c r="B169" s="10"/>
      <c r="C169" s="161" t="s">
        <v>204</v>
      </c>
      <c r="D169" s="73"/>
      <c r="E169" s="73"/>
      <c r="F169" s="73"/>
      <c r="G169" s="73"/>
      <c r="H169" s="73"/>
      <c r="I169" s="73"/>
      <c r="J169" s="73"/>
      <c r="K169" s="73"/>
      <c r="L169" s="73"/>
      <c r="M169" s="143"/>
      <c r="N169" s="46"/>
      <c r="O169" s="74"/>
      <c r="P169" s="74"/>
      <c r="Q169" s="74"/>
      <c r="R169" s="46"/>
      <c r="S169" s="74"/>
      <c r="T169" s="74"/>
      <c r="U169" s="74"/>
      <c r="V169" s="52"/>
      <c r="W169" s="52"/>
      <c r="X169" s="52"/>
      <c r="Y169" s="22"/>
      <c r="Z169" s="22"/>
      <c r="AA169" s="22"/>
      <c r="AB169" s="22"/>
      <c r="AC169" s="22"/>
      <c r="AD169" s="22"/>
      <c r="AE169" s="22"/>
      <c r="AF169" s="22"/>
      <c r="AG169" s="22"/>
      <c r="AH169" s="52"/>
      <c r="AI169" s="52"/>
      <c r="AJ169" s="52"/>
      <c r="AK169" s="52"/>
      <c r="AL169" s="22"/>
      <c r="AM169" s="52"/>
      <c r="AN169" s="22"/>
      <c r="AO169" s="22"/>
      <c r="AP169" s="22"/>
      <c r="AQ169" s="22"/>
      <c r="AR169" s="22"/>
      <c r="AS169" s="22"/>
      <c r="AT169" s="22"/>
      <c r="AU169" s="22"/>
      <c r="AV169" s="77"/>
      <c r="AW169" s="77"/>
      <c r="AX169" s="78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40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19"/>
      <c r="CX169" s="19"/>
      <c r="CY169" s="19"/>
      <c r="CZ169" s="19"/>
      <c r="DA169" s="21"/>
      <c r="DB169" s="21"/>
      <c r="DC169" s="79"/>
      <c r="DD169" s="79"/>
      <c r="DE169" s="79"/>
      <c r="DF169" s="79"/>
      <c r="DG169" s="79"/>
      <c r="DH169" s="51"/>
      <c r="DI169" s="39"/>
      <c r="DJ169" s="80"/>
      <c r="DK169" s="39"/>
      <c r="DL169" s="39"/>
      <c r="DM169" s="48"/>
      <c r="DN169" s="39"/>
      <c r="DO169" s="39"/>
      <c r="DP169" s="39"/>
      <c r="DQ169" s="39"/>
      <c r="DR169" s="39"/>
      <c r="DS169" s="39"/>
      <c r="DT169" s="39"/>
      <c r="DU169" s="19"/>
      <c r="DV169" s="40"/>
      <c r="DW169" s="40"/>
      <c r="DX169" s="46"/>
      <c r="DY169" s="21"/>
      <c r="DZ169" s="19"/>
      <c r="EA169" s="19"/>
      <c r="EB169" s="19"/>
      <c r="EC169" s="48"/>
      <c r="ED169" s="48"/>
      <c r="EE169" s="22"/>
      <c r="EF169" s="22"/>
      <c r="EG169" s="22"/>
      <c r="EH169" s="22"/>
      <c r="EI169" s="22"/>
      <c r="EJ169" s="22"/>
      <c r="EK169" s="40"/>
      <c r="EL169" s="19"/>
      <c r="EM169" s="19"/>
      <c r="EN169" s="40"/>
      <c r="EO169" s="40"/>
      <c r="EP169" s="40"/>
      <c r="EQ169" s="21"/>
      <c r="ER169" s="21"/>
      <c r="ES169" s="21"/>
      <c r="ET169" s="21"/>
      <c r="EU169" s="19"/>
      <c r="EV169" s="21"/>
      <c r="EW169" s="39"/>
      <c r="EX169" s="39"/>
      <c r="EY169" s="39"/>
      <c r="EZ169" s="39"/>
      <c r="FA169" s="39"/>
      <c r="FB169" s="39"/>
      <c r="FC169" s="39"/>
      <c r="FD169" s="39"/>
      <c r="FE169" s="39"/>
      <c r="FF169" s="39"/>
      <c r="FG169" s="39"/>
      <c r="FH169" s="39"/>
      <c r="FI169" s="39"/>
      <c r="FJ169" s="19"/>
      <c r="FK169" s="19"/>
      <c r="FL169" s="19"/>
      <c r="FM169" s="19"/>
      <c r="FN169" s="19"/>
      <c r="FO169" s="22">
        <v>9959.61</v>
      </c>
      <c r="FP169" s="22">
        <v>10382.51</v>
      </c>
      <c r="FQ169" s="22"/>
      <c r="FR169" s="22" t="s">
        <v>633</v>
      </c>
      <c r="FS169" s="22" t="s">
        <v>633</v>
      </c>
      <c r="FT169" s="22"/>
      <c r="FU169" s="40" t="s">
        <v>657</v>
      </c>
      <c r="FV169" s="19"/>
      <c r="FW169" s="19"/>
      <c r="FX169" s="19"/>
      <c r="FY169" s="19"/>
      <c r="FZ169" s="19"/>
      <c r="GA169" s="19"/>
      <c r="GB169" s="19"/>
      <c r="GC169" s="20"/>
      <c r="GD169" s="20"/>
      <c r="GE169" s="19"/>
      <c r="GF169" s="21"/>
      <c r="GG169" s="19"/>
      <c r="GH169" s="19"/>
      <c r="GI169" s="19"/>
      <c r="GJ169" s="21"/>
      <c r="GK169" s="19"/>
      <c r="GL169" s="19"/>
      <c r="GM169" s="19"/>
      <c r="GN169" s="19"/>
      <c r="GO169" s="22">
        <v>10382.51</v>
      </c>
      <c r="GP169" s="22">
        <v>10697.6</v>
      </c>
      <c r="GQ169" s="22"/>
      <c r="GR169" s="22" t="s">
        <v>633</v>
      </c>
      <c r="GS169" s="22" t="s">
        <v>633</v>
      </c>
      <c r="GT169" s="22"/>
      <c r="GU169" s="40" t="s">
        <v>657</v>
      </c>
      <c r="GV169" s="19"/>
      <c r="GW169" s="19"/>
      <c r="GX169" s="19"/>
      <c r="GY169" s="19"/>
      <c r="GZ169" s="23"/>
      <c r="HA169" s="22">
        <v>10697.6</v>
      </c>
      <c r="HB169" s="22">
        <v>11037.88</v>
      </c>
      <c r="HC169" s="22"/>
      <c r="HD169" s="52" t="s">
        <v>633</v>
      </c>
      <c r="HE169" s="22" t="s">
        <v>633</v>
      </c>
      <c r="HF169" s="22"/>
      <c r="HG169" s="236" t="s">
        <v>657</v>
      </c>
    </row>
    <row r="170" spans="2:215" ht="15.75">
      <c r="B170" s="10"/>
      <c r="C170" s="161" t="s">
        <v>300</v>
      </c>
      <c r="D170" s="73"/>
      <c r="E170" s="73"/>
      <c r="F170" s="73"/>
      <c r="G170" s="73"/>
      <c r="H170" s="73"/>
      <c r="I170" s="73"/>
      <c r="J170" s="73"/>
      <c r="K170" s="73"/>
      <c r="L170" s="73"/>
      <c r="M170" s="143"/>
      <c r="N170" s="46"/>
      <c r="O170" s="74"/>
      <c r="P170" s="74"/>
      <c r="Q170" s="74"/>
      <c r="R170" s="46"/>
      <c r="S170" s="74"/>
      <c r="T170" s="74"/>
      <c r="U170" s="74"/>
      <c r="V170" s="52"/>
      <c r="W170" s="52"/>
      <c r="X170" s="52"/>
      <c r="Y170" s="22"/>
      <c r="Z170" s="22"/>
      <c r="AA170" s="22"/>
      <c r="AB170" s="22"/>
      <c r="AC170" s="22"/>
      <c r="AD170" s="22"/>
      <c r="AE170" s="22"/>
      <c r="AF170" s="22"/>
      <c r="AG170" s="22"/>
      <c r="AH170" s="52"/>
      <c r="AI170" s="52"/>
      <c r="AJ170" s="52"/>
      <c r="AK170" s="52"/>
      <c r="AL170" s="22"/>
      <c r="AM170" s="52"/>
      <c r="AN170" s="22"/>
      <c r="AO170" s="22"/>
      <c r="AP170" s="22"/>
      <c r="AQ170" s="22"/>
      <c r="AR170" s="22"/>
      <c r="AS170" s="22"/>
      <c r="AT170" s="22"/>
      <c r="AU170" s="22"/>
      <c r="AV170" s="77"/>
      <c r="AW170" s="77"/>
      <c r="AX170" s="78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40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19"/>
      <c r="CX170" s="19"/>
      <c r="CY170" s="19"/>
      <c r="CZ170" s="19"/>
      <c r="DA170" s="21"/>
      <c r="DB170" s="21"/>
      <c r="DC170" s="79"/>
      <c r="DD170" s="79"/>
      <c r="DE170" s="79"/>
      <c r="DF170" s="79"/>
      <c r="DG170" s="79"/>
      <c r="DH170" s="51"/>
      <c r="DI170" s="39"/>
      <c r="DJ170" s="80"/>
      <c r="DK170" s="39"/>
      <c r="DL170" s="39"/>
      <c r="DM170" s="48"/>
      <c r="DN170" s="39"/>
      <c r="DO170" s="39"/>
      <c r="DP170" s="39"/>
      <c r="DQ170" s="39"/>
      <c r="DR170" s="39"/>
      <c r="DS170" s="39"/>
      <c r="DT170" s="39"/>
      <c r="DU170" s="19"/>
      <c r="DV170" s="40"/>
      <c r="DW170" s="40"/>
      <c r="DX170" s="46"/>
      <c r="DY170" s="21"/>
      <c r="DZ170" s="19"/>
      <c r="EA170" s="19"/>
      <c r="EB170" s="19"/>
      <c r="EC170" s="48"/>
      <c r="ED170" s="48"/>
      <c r="EE170" s="22"/>
      <c r="EF170" s="22"/>
      <c r="EG170" s="22"/>
      <c r="EH170" s="22"/>
      <c r="EI170" s="22"/>
      <c r="EJ170" s="22"/>
      <c r="EK170" s="40"/>
      <c r="EL170" s="19"/>
      <c r="EM170" s="19"/>
      <c r="EN170" s="40"/>
      <c r="EO170" s="40"/>
      <c r="EP170" s="40"/>
      <c r="EQ170" s="21"/>
      <c r="ER170" s="21"/>
      <c r="ES170" s="21"/>
      <c r="ET170" s="21"/>
      <c r="EU170" s="19"/>
      <c r="EV170" s="21"/>
      <c r="EW170" s="39"/>
      <c r="EX170" s="39"/>
      <c r="EY170" s="39"/>
      <c r="EZ170" s="39"/>
      <c r="FA170" s="39"/>
      <c r="FB170" s="39"/>
      <c r="FC170" s="39"/>
      <c r="FD170" s="39"/>
      <c r="FE170" s="39"/>
      <c r="FF170" s="39"/>
      <c r="FG170" s="39"/>
      <c r="FH170" s="39"/>
      <c r="FI170" s="39"/>
      <c r="FJ170" s="19"/>
      <c r="FK170" s="19"/>
      <c r="FL170" s="19"/>
      <c r="FM170" s="19"/>
      <c r="FN170" s="19"/>
      <c r="FO170" s="22">
        <v>665.31</v>
      </c>
      <c r="FP170" s="22">
        <v>691.92</v>
      </c>
      <c r="FQ170" s="22"/>
      <c r="FR170" s="22" t="s">
        <v>633</v>
      </c>
      <c r="FS170" s="22" t="s">
        <v>633</v>
      </c>
      <c r="FT170" s="22"/>
      <c r="FU170" s="22" t="s">
        <v>633</v>
      </c>
      <c r="FV170" s="22" t="s">
        <v>633</v>
      </c>
      <c r="FW170" s="19"/>
      <c r="FX170" s="19"/>
      <c r="FY170" s="19"/>
      <c r="FZ170" s="19"/>
      <c r="GA170" s="19"/>
      <c r="GB170" s="19"/>
      <c r="GC170" s="20"/>
      <c r="GD170" s="20"/>
      <c r="GE170" s="21"/>
      <c r="GF170" s="21"/>
      <c r="GG170" s="21"/>
      <c r="GH170" s="21"/>
      <c r="GI170" s="21"/>
      <c r="GJ170" s="21"/>
      <c r="GK170" s="21"/>
      <c r="GL170" s="21"/>
      <c r="GM170" s="19"/>
      <c r="GN170" s="19"/>
      <c r="GO170" s="22" t="s">
        <v>633</v>
      </c>
      <c r="GP170" s="22" t="s">
        <v>633</v>
      </c>
      <c r="GQ170" s="22"/>
      <c r="GR170" s="22" t="s">
        <v>633</v>
      </c>
      <c r="GS170" s="22" t="s">
        <v>633</v>
      </c>
      <c r="GT170" s="22"/>
      <c r="GU170" s="22" t="s">
        <v>633</v>
      </c>
      <c r="GV170" s="22" t="s">
        <v>633</v>
      </c>
      <c r="GW170" s="19"/>
      <c r="GX170" s="19"/>
      <c r="GY170" s="19"/>
      <c r="GZ170" s="23"/>
      <c r="HA170" s="22" t="s">
        <v>633</v>
      </c>
      <c r="HB170" s="22" t="s">
        <v>633</v>
      </c>
      <c r="HC170" s="22"/>
      <c r="HD170" s="22" t="s">
        <v>633</v>
      </c>
      <c r="HE170" s="22" t="s">
        <v>633</v>
      </c>
      <c r="HF170" s="22"/>
      <c r="HG170" s="22" t="s">
        <v>633</v>
      </c>
    </row>
    <row r="171" spans="2:215" ht="15.75">
      <c r="B171" s="10"/>
      <c r="C171" s="192" t="s">
        <v>612</v>
      </c>
      <c r="D171" s="73"/>
      <c r="E171" s="73"/>
      <c r="F171" s="73"/>
      <c r="G171" s="73"/>
      <c r="H171" s="73"/>
      <c r="I171" s="73"/>
      <c r="J171" s="73"/>
      <c r="K171" s="73"/>
      <c r="L171" s="73"/>
      <c r="M171" s="143"/>
      <c r="N171" s="46"/>
      <c r="O171" s="74"/>
      <c r="P171" s="74"/>
      <c r="Q171" s="74"/>
      <c r="R171" s="46"/>
      <c r="S171" s="74"/>
      <c r="T171" s="74"/>
      <c r="U171" s="74"/>
      <c r="V171" s="52"/>
      <c r="W171" s="52"/>
      <c r="X171" s="52"/>
      <c r="Y171" s="22"/>
      <c r="Z171" s="22"/>
      <c r="AA171" s="22"/>
      <c r="AB171" s="22"/>
      <c r="AC171" s="22"/>
      <c r="AD171" s="22"/>
      <c r="AE171" s="22"/>
      <c r="AF171" s="22"/>
      <c r="AG171" s="22"/>
      <c r="AH171" s="52"/>
      <c r="AI171" s="52"/>
      <c r="AJ171" s="52"/>
      <c r="AK171" s="52"/>
      <c r="AL171" s="22"/>
      <c r="AM171" s="52"/>
      <c r="AN171" s="22"/>
      <c r="AO171" s="22"/>
      <c r="AP171" s="22"/>
      <c r="AQ171" s="22"/>
      <c r="AR171" s="22"/>
      <c r="AS171" s="22"/>
      <c r="AT171" s="22"/>
      <c r="AU171" s="22"/>
      <c r="AV171" s="77"/>
      <c r="AW171" s="77"/>
      <c r="AX171" s="78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40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19"/>
      <c r="CX171" s="19"/>
      <c r="CY171" s="19"/>
      <c r="CZ171" s="19"/>
      <c r="DA171" s="21"/>
      <c r="DB171" s="21"/>
      <c r="DC171" s="79"/>
      <c r="DD171" s="79"/>
      <c r="DE171" s="79"/>
      <c r="DF171" s="79"/>
      <c r="DG171" s="79"/>
      <c r="DH171" s="51"/>
      <c r="DI171" s="39"/>
      <c r="DJ171" s="80"/>
      <c r="DK171" s="39"/>
      <c r="DL171" s="39"/>
      <c r="DM171" s="48"/>
      <c r="DN171" s="39"/>
      <c r="DO171" s="39"/>
      <c r="DP171" s="39"/>
      <c r="DQ171" s="39"/>
      <c r="DR171" s="39"/>
      <c r="DS171" s="39"/>
      <c r="DT171" s="39"/>
      <c r="DU171" s="19"/>
      <c r="DV171" s="40"/>
      <c r="DW171" s="40"/>
      <c r="DX171" s="46"/>
      <c r="DY171" s="21"/>
      <c r="DZ171" s="19"/>
      <c r="EA171" s="19"/>
      <c r="EB171" s="19"/>
      <c r="EC171" s="48"/>
      <c r="ED171" s="48"/>
      <c r="EE171" s="22"/>
      <c r="EF171" s="22"/>
      <c r="EG171" s="22"/>
      <c r="EH171" s="22"/>
      <c r="EI171" s="22"/>
      <c r="EJ171" s="22"/>
      <c r="EK171" s="40"/>
      <c r="EL171" s="19"/>
      <c r="EM171" s="19"/>
      <c r="EN171" s="40"/>
      <c r="EO171" s="40"/>
      <c r="EP171" s="40"/>
      <c r="EQ171" s="21"/>
      <c r="ER171" s="21"/>
      <c r="ES171" s="21"/>
      <c r="ET171" s="21"/>
      <c r="EU171" s="19"/>
      <c r="EV171" s="21"/>
      <c r="EW171" s="39"/>
      <c r="EX171" s="39"/>
      <c r="EY171" s="39"/>
      <c r="EZ171" s="39"/>
      <c r="FA171" s="39"/>
      <c r="FB171" s="39"/>
      <c r="FC171" s="39"/>
      <c r="FD171" s="39"/>
      <c r="FE171" s="39"/>
      <c r="FF171" s="39"/>
      <c r="FG171" s="39"/>
      <c r="FH171" s="39"/>
      <c r="FI171" s="39"/>
      <c r="FJ171" s="19"/>
      <c r="FK171" s="19"/>
      <c r="FL171" s="19"/>
      <c r="FM171" s="19"/>
      <c r="FN171" s="19"/>
      <c r="FO171" s="22"/>
      <c r="FP171" s="22"/>
      <c r="FQ171" s="22"/>
      <c r="FR171" s="22"/>
      <c r="FS171" s="22"/>
      <c r="FT171" s="22"/>
      <c r="FU171" s="40"/>
      <c r="FV171" s="19"/>
      <c r="FW171" s="19"/>
      <c r="FX171" s="19"/>
      <c r="FY171" s="19"/>
      <c r="FZ171" s="19"/>
      <c r="GA171" s="19"/>
      <c r="GB171" s="19"/>
      <c r="GC171" s="20"/>
      <c r="GD171" s="20"/>
      <c r="GE171" s="21"/>
      <c r="GF171" s="21"/>
      <c r="GG171" s="21"/>
      <c r="GH171" s="21"/>
      <c r="GI171" s="21"/>
      <c r="GJ171" s="21"/>
      <c r="GK171" s="21"/>
      <c r="GL171" s="21"/>
      <c r="GM171" s="19"/>
      <c r="GN171" s="19"/>
      <c r="GO171" s="22"/>
      <c r="GP171" s="22"/>
      <c r="GQ171" s="22"/>
      <c r="GR171" s="22"/>
      <c r="GS171" s="22"/>
      <c r="GT171" s="22"/>
      <c r="GU171" s="43"/>
      <c r="GV171" s="19"/>
      <c r="GW171" s="19"/>
      <c r="GX171" s="19"/>
      <c r="GY171" s="19"/>
      <c r="GZ171" s="23"/>
      <c r="HA171" s="22"/>
      <c r="HB171" s="22"/>
      <c r="HC171" s="22"/>
      <c r="HD171" s="22"/>
      <c r="HE171" s="22"/>
      <c r="HF171" s="22"/>
      <c r="HG171" s="233"/>
    </row>
    <row r="172" spans="2:215" ht="31.5">
      <c r="B172" s="10"/>
      <c r="C172" s="184" t="s">
        <v>730</v>
      </c>
      <c r="D172" s="73"/>
      <c r="E172" s="73"/>
      <c r="F172" s="73"/>
      <c r="G172" s="73"/>
      <c r="H172" s="73"/>
      <c r="I172" s="73"/>
      <c r="J172" s="73"/>
      <c r="K172" s="73"/>
      <c r="L172" s="73"/>
      <c r="M172" s="143"/>
      <c r="N172" s="46"/>
      <c r="O172" s="74"/>
      <c r="P172" s="74"/>
      <c r="Q172" s="74"/>
      <c r="R172" s="46"/>
      <c r="S172" s="74"/>
      <c r="T172" s="74"/>
      <c r="U172" s="74"/>
      <c r="V172" s="52"/>
      <c r="W172" s="52"/>
      <c r="X172" s="52"/>
      <c r="Y172" s="22"/>
      <c r="Z172" s="22"/>
      <c r="AA172" s="22"/>
      <c r="AB172" s="22"/>
      <c r="AC172" s="22"/>
      <c r="AD172" s="22"/>
      <c r="AE172" s="22"/>
      <c r="AF172" s="22"/>
      <c r="AG172" s="22"/>
      <c r="AH172" s="52"/>
      <c r="AI172" s="52"/>
      <c r="AJ172" s="52"/>
      <c r="AK172" s="52"/>
      <c r="AL172" s="22"/>
      <c r="AM172" s="52"/>
      <c r="AN172" s="22"/>
      <c r="AO172" s="22"/>
      <c r="AP172" s="22"/>
      <c r="AQ172" s="22"/>
      <c r="AR172" s="22"/>
      <c r="AS172" s="22"/>
      <c r="AT172" s="22"/>
      <c r="AU172" s="22"/>
      <c r="AV172" s="77"/>
      <c r="AW172" s="77"/>
      <c r="AX172" s="78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40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19"/>
      <c r="CX172" s="19"/>
      <c r="CY172" s="19"/>
      <c r="CZ172" s="19"/>
      <c r="DA172" s="21"/>
      <c r="DB172" s="21"/>
      <c r="DC172" s="79"/>
      <c r="DD172" s="79"/>
      <c r="DE172" s="79"/>
      <c r="DF172" s="79"/>
      <c r="DG172" s="79"/>
      <c r="DH172" s="51"/>
      <c r="DI172" s="39"/>
      <c r="DJ172" s="80"/>
      <c r="DK172" s="39"/>
      <c r="DL172" s="39"/>
      <c r="DM172" s="48"/>
      <c r="DN172" s="39"/>
      <c r="DO172" s="39"/>
      <c r="DP172" s="39"/>
      <c r="DQ172" s="39"/>
      <c r="DR172" s="39"/>
      <c r="DS172" s="39"/>
      <c r="DT172" s="39"/>
      <c r="DU172" s="19"/>
      <c r="DV172" s="40"/>
      <c r="DW172" s="40"/>
      <c r="DX172" s="46"/>
      <c r="DY172" s="21"/>
      <c r="DZ172" s="19"/>
      <c r="EA172" s="19"/>
      <c r="EB172" s="19"/>
      <c r="EC172" s="48"/>
      <c r="ED172" s="48"/>
      <c r="EE172" s="22"/>
      <c r="EF172" s="22"/>
      <c r="EG172" s="22"/>
      <c r="EH172" s="22"/>
      <c r="EI172" s="22"/>
      <c r="EJ172" s="22"/>
      <c r="EK172" s="40"/>
      <c r="EL172" s="19"/>
      <c r="EM172" s="19"/>
      <c r="EN172" s="40"/>
      <c r="EO172" s="40"/>
      <c r="EP172" s="40"/>
      <c r="EQ172" s="21"/>
      <c r="ER172" s="21"/>
      <c r="ES172" s="21"/>
      <c r="ET172" s="21"/>
      <c r="EU172" s="19"/>
      <c r="EV172" s="21"/>
      <c r="EW172" s="39"/>
      <c r="EX172" s="39"/>
      <c r="EY172" s="39"/>
      <c r="EZ172" s="39"/>
      <c r="FA172" s="39"/>
      <c r="FB172" s="39"/>
      <c r="FC172" s="39"/>
      <c r="FD172" s="39"/>
      <c r="FE172" s="39"/>
      <c r="FF172" s="39"/>
      <c r="FG172" s="39"/>
      <c r="FH172" s="39"/>
      <c r="FI172" s="39"/>
      <c r="FJ172" s="19"/>
      <c r="FK172" s="19"/>
      <c r="FL172" s="19"/>
      <c r="FM172" s="19"/>
      <c r="FN172" s="19"/>
      <c r="FO172" s="22">
        <v>3013.12</v>
      </c>
      <c r="FP172" s="22">
        <v>3083.47</v>
      </c>
      <c r="FQ172" s="22"/>
      <c r="FR172" s="22">
        <v>1932.56</v>
      </c>
      <c r="FS172" s="22">
        <v>1984.74</v>
      </c>
      <c r="FT172" s="22"/>
      <c r="FU172" s="40" t="s">
        <v>624</v>
      </c>
      <c r="FV172" s="19"/>
      <c r="FW172" s="19"/>
      <c r="FX172" s="19"/>
      <c r="FY172" s="19"/>
      <c r="FZ172" s="19"/>
      <c r="GA172" s="19"/>
      <c r="GB172" s="19"/>
      <c r="GC172" s="20"/>
      <c r="GD172" s="20"/>
      <c r="GE172" s="21"/>
      <c r="GF172" s="21"/>
      <c r="GG172" s="21"/>
      <c r="GH172" s="21"/>
      <c r="GI172" s="21"/>
      <c r="GJ172" s="21"/>
      <c r="GK172" s="21"/>
      <c r="GL172" s="21"/>
      <c r="GM172" s="19"/>
      <c r="GN172" s="19"/>
      <c r="GO172" s="22">
        <v>3083.47</v>
      </c>
      <c r="GP172" s="22">
        <v>3217.34</v>
      </c>
      <c r="GQ172" s="22"/>
      <c r="GR172" s="22">
        <v>1984.74</v>
      </c>
      <c r="GS172" s="22">
        <v>2060.16</v>
      </c>
      <c r="GT172" s="22"/>
      <c r="GU172" s="43" t="s">
        <v>624</v>
      </c>
      <c r="GV172" s="19"/>
      <c r="GW172" s="19"/>
      <c r="GX172" s="19"/>
      <c r="GY172" s="19"/>
      <c r="GZ172" s="23"/>
      <c r="HA172" s="22">
        <v>3217.34</v>
      </c>
      <c r="HB172" s="22">
        <v>3305.42</v>
      </c>
      <c r="HC172" s="22"/>
      <c r="HD172" s="22">
        <v>2060.16</v>
      </c>
      <c r="HE172" s="22">
        <v>2142.5700000000002</v>
      </c>
      <c r="HF172" s="22"/>
      <c r="HG172" s="233" t="s">
        <v>624</v>
      </c>
    </row>
    <row r="173" spans="2:215" ht="15.75">
      <c r="B173" s="10"/>
      <c r="C173" s="184" t="s">
        <v>321</v>
      </c>
      <c r="D173" s="73"/>
      <c r="E173" s="73"/>
      <c r="F173" s="73"/>
      <c r="G173" s="73"/>
      <c r="H173" s="73"/>
      <c r="I173" s="73"/>
      <c r="J173" s="73"/>
      <c r="K173" s="73"/>
      <c r="L173" s="73"/>
      <c r="M173" s="143"/>
      <c r="N173" s="46"/>
      <c r="O173" s="74"/>
      <c r="P173" s="74"/>
      <c r="Q173" s="74"/>
      <c r="R173" s="46"/>
      <c r="S173" s="74"/>
      <c r="T173" s="74"/>
      <c r="U173" s="74"/>
      <c r="V173" s="52"/>
      <c r="W173" s="52"/>
      <c r="X173" s="52"/>
      <c r="Y173" s="22"/>
      <c r="Z173" s="22"/>
      <c r="AA173" s="22"/>
      <c r="AB173" s="22"/>
      <c r="AC173" s="22"/>
      <c r="AD173" s="22"/>
      <c r="AE173" s="22"/>
      <c r="AF173" s="22"/>
      <c r="AG173" s="22"/>
      <c r="AH173" s="52"/>
      <c r="AI173" s="52"/>
      <c r="AJ173" s="52"/>
      <c r="AK173" s="52"/>
      <c r="AL173" s="22"/>
      <c r="AM173" s="52"/>
      <c r="AN173" s="22"/>
      <c r="AO173" s="22"/>
      <c r="AP173" s="22"/>
      <c r="AQ173" s="22"/>
      <c r="AR173" s="22"/>
      <c r="AS173" s="22"/>
      <c r="AT173" s="22"/>
      <c r="AU173" s="22"/>
      <c r="AV173" s="77"/>
      <c r="AW173" s="77"/>
      <c r="AX173" s="78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40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19"/>
      <c r="CX173" s="19"/>
      <c r="CY173" s="19"/>
      <c r="CZ173" s="19"/>
      <c r="DA173" s="21"/>
      <c r="DB173" s="21"/>
      <c r="DC173" s="79"/>
      <c r="DD173" s="79"/>
      <c r="DE173" s="79"/>
      <c r="DF173" s="79"/>
      <c r="DG173" s="79"/>
      <c r="DH173" s="51"/>
      <c r="DI173" s="39"/>
      <c r="DJ173" s="80"/>
      <c r="DK173" s="39"/>
      <c r="DL173" s="39"/>
      <c r="DM173" s="48"/>
      <c r="DN173" s="39"/>
      <c r="DO173" s="39"/>
      <c r="DP173" s="39"/>
      <c r="DQ173" s="39"/>
      <c r="DR173" s="39"/>
      <c r="DS173" s="39"/>
      <c r="DT173" s="39"/>
      <c r="DU173" s="19"/>
      <c r="DV173" s="40"/>
      <c r="DW173" s="40"/>
      <c r="DX173" s="46"/>
      <c r="DY173" s="21"/>
      <c r="DZ173" s="19"/>
      <c r="EA173" s="19"/>
      <c r="EB173" s="19"/>
      <c r="EC173" s="48"/>
      <c r="ED173" s="48"/>
      <c r="EE173" s="22"/>
      <c r="EF173" s="22"/>
      <c r="EG173" s="22"/>
      <c r="EH173" s="22"/>
      <c r="EI173" s="22"/>
      <c r="EJ173" s="22"/>
      <c r="EK173" s="40"/>
      <c r="EL173" s="19"/>
      <c r="EM173" s="19"/>
      <c r="EN173" s="40"/>
      <c r="EO173" s="40"/>
      <c r="EP173" s="40"/>
      <c r="EQ173" s="21"/>
      <c r="ER173" s="21"/>
      <c r="ES173" s="21"/>
      <c r="ET173" s="21"/>
      <c r="EU173" s="19"/>
      <c r="EV173" s="21"/>
      <c r="EW173" s="39"/>
      <c r="EX173" s="39"/>
      <c r="EY173" s="39"/>
      <c r="EZ173" s="39"/>
      <c r="FA173" s="39"/>
      <c r="FB173" s="39"/>
      <c r="FC173" s="39"/>
      <c r="FD173" s="39"/>
      <c r="FE173" s="39"/>
      <c r="FF173" s="39"/>
      <c r="FG173" s="39"/>
      <c r="FH173" s="39"/>
      <c r="FI173" s="39"/>
      <c r="FJ173" s="19"/>
      <c r="FK173" s="19"/>
      <c r="FL173" s="19"/>
      <c r="FM173" s="19">
        <v>23.423999999999999</v>
      </c>
      <c r="FN173" s="19">
        <v>21.585000000000001</v>
      </c>
      <c r="FO173" s="22">
        <v>260.11</v>
      </c>
      <c r="FP173" s="22">
        <v>266.27</v>
      </c>
      <c r="FQ173" s="22"/>
      <c r="FR173" s="22">
        <v>143.91999999999999</v>
      </c>
      <c r="FS173" s="22">
        <v>147.94</v>
      </c>
      <c r="FT173" s="22"/>
      <c r="FU173" s="40" t="s">
        <v>631</v>
      </c>
      <c r="FV173" s="19"/>
      <c r="FW173" s="19"/>
      <c r="FX173" s="19"/>
      <c r="FY173" s="19"/>
      <c r="FZ173" s="19"/>
      <c r="GA173" s="19"/>
      <c r="GB173" s="19"/>
      <c r="GC173" s="20"/>
      <c r="GD173" s="20"/>
      <c r="GE173" s="21"/>
      <c r="GF173" s="21"/>
      <c r="GG173" s="21"/>
      <c r="GH173" s="21"/>
      <c r="GI173" s="21"/>
      <c r="GJ173" s="21"/>
      <c r="GK173" s="21"/>
      <c r="GL173" s="21"/>
      <c r="GM173" s="19"/>
      <c r="GN173" s="19"/>
      <c r="GO173" s="22">
        <v>266.27</v>
      </c>
      <c r="GP173" s="22">
        <v>276.39</v>
      </c>
      <c r="GQ173" s="22"/>
      <c r="GR173" s="22">
        <v>232.46</v>
      </c>
      <c r="GS173" s="22">
        <v>241.29</v>
      </c>
      <c r="GT173" s="22"/>
      <c r="GU173" s="61" t="s">
        <v>631</v>
      </c>
      <c r="GV173" s="19"/>
      <c r="GW173" s="19"/>
      <c r="GX173" s="19"/>
      <c r="GY173" s="19"/>
      <c r="GZ173" s="23"/>
      <c r="HA173" s="22">
        <v>276.39</v>
      </c>
      <c r="HB173" s="22">
        <v>287.45</v>
      </c>
      <c r="HC173" s="22"/>
      <c r="HD173" s="22">
        <v>241.29</v>
      </c>
      <c r="HE173" s="22">
        <v>250.95</v>
      </c>
      <c r="HF173" s="22"/>
      <c r="HG173" s="236" t="s">
        <v>631</v>
      </c>
    </row>
    <row r="174" spans="2:215" ht="15.75">
      <c r="B174" s="10"/>
      <c r="C174" s="192" t="s">
        <v>727</v>
      </c>
      <c r="D174" s="73"/>
      <c r="E174" s="73"/>
      <c r="F174" s="73"/>
      <c r="G174" s="73"/>
      <c r="H174" s="73"/>
      <c r="I174" s="73"/>
      <c r="J174" s="73"/>
      <c r="K174" s="73"/>
      <c r="L174" s="73"/>
      <c r="M174" s="143"/>
      <c r="N174" s="46"/>
      <c r="O174" s="74"/>
      <c r="P174" s="74"/>
      <c r="Q174" s="74"/>
      <c r="R174" s="46"/>
      <c r="S174" s="74"/>
      <c r="T174" s="74"/>
      <c r="U174" s="74"/>
      <c r="V174" s="52"/>
      <c r="W174" s="52"/>
      <c r="X174" s="52"/>
      <c r="Y174" s="22"/>
      <c r="Z174" s="22"/>
      <c r="AA174" s="22"/>
      <c r="AB174" s="22"/>
      <c r="AC174" s="22"/>
      <c r="AD174" s="22"/>
      <c r="AE174" s="22"/>
      <c r="AF174" s="22"/>
      <c r="AG174" s="22"/>
      <c r="AH174" s="52"/>
      <c r="AI174" s="52"/>
      <c r="AJ174" s="52"/>
      <c r="AK174" s="52"/>
      <c r="AL174" s="22"/>
      <c r="AM174" s="52"/>
      <c r="AN174" s="22"/>
      <c r="AO174" s="22"/>
      <c r="AP174" s="22"/>
      <c r="AQ174" s="22"/>
      <c r="AR174" s="22"/>
      <c r="AS174" s="22"/>
      <c r="AT174" s="22"/>
      <c r="AU174" s="22"/>
      <c r="AV174" s="77"/>
      <c r="AW174" s="77"/>
      <c r="AX174" s="136"/>
      <c r="AY174" s="22"/>
      <c r="AZ174" s="22"/>
      <c r="BA174" s="22"/>
      <c r="BB174" s="22"/>
      <c r="BC174" s="22"/>
      <c r="BD174" s="22"/>
      <c r="BE174" s="22"/>
      <c r="BF174" s="22"/>
      <c r="BG174" s="22"/>
      <c r="BH174" s="22"/>
      <c r="BI174" s="22"/>
      <c r="BJ174" s="61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19"/>
      <c r="CX174" s="19"/>
      <c r="CY174" s="19"/>
      <c r="CZ174" s="19"/>
      <c r="DA174" s="21"/>
      <c r="DB174" s="21"/>
      <c r="DC174" s="79"/>
      <c r="DD174" s="79"/>
      <c r="DE174" s="79"/>
      <c r="DF174" s="79"/>
      <c r="DG174" s="79"/>
      <c r="DH174" s="51"/>
      <c r="DI174" s="39"/>
      <c r="DJ174" s="80"/>
      <c r="DK174" s="39"/>
      <c r="DL174" s="39"/>
      <c r="DM174" s="48"/>
      <c r="DN174" s="39"/>
      <c r="DO174" s="39"/>
      <c r="DP174" s="39"/>
      <c r="DQ174" s="39"/>
      <c r="DR174" s="39"/>
      <c r="DS174" s="39"/>
      <c r="DT174" s="39"/>
      <c r="DU174" s="19"/>
      <c r="DV174" s="61"/>
      <c r="DW174" s="61"/>
      <c r="DX174" s="46"/>
      <c r="DY174" s="21"/>
      <c r="DZ174" s="19"/>
      <c r="EA174" s="19"/>
      <c r="EB174" s="19"/>
      <c r="EC174" s="48"/>
      <c r="ED174" s="48"/>
      <c r="EE174" s="22"/>
      <c r="EF174" s="22"/>
      <c r="EG174" s="22"/>
      <c r="EH174" s="22"/>
      <c r="EI174" s="22"/>
      <c r="EJ174" s="22"/>
      <c r="EK174" s="61"/>
      <c r="EL174" s="19"/>
      <c r="EM174" s="19"/>
      <c r="EN174" s="61"/>
      <c r="EO174" s="61"/>
      <c r="EP174" s="61"/>
      <c r="EQ174" s="21"/>
      <c r="ER174" s="21"/>
      <c r="ES174" s="21"/>
      <c r="ET174" s="21"/>
      <c r="EU174" s="19"/>
      <c r="EV174" s="21"/>
      <c r="EW174" s="39"/>
      <c r="EX174" s="39"/>
      <c r="EY174" s="39"/>
      <c r="EZ174" s="39"/>
      <c r="FA174" s="39"/>
      <c r="FB174" s="39"/>
      <c r="FC174" s="39"/>
      <c r="FD174" s="39"/>
      <c r="FE174" s="39"/>
      <c r="FF174" s="39"/>
      <c r="FG174" s="39"/>
      <c r="FH174" s="39"/>
      <c r="FI174" s="39"/>
      <c r="FJ174" s="19"/>
      <c r="FK174" s="19"/>
      <c r="FL174" s="19"/>
      <c r="FM174" s="19"/>
      <c r="FN174" s="19"/>
      <c r="FO174" s="22"/>
      <c r="FP174" s="22"/>
      <c r="FQ174" s="22"/>
      <c r="FR174" s="22"/>
      <c r="FS174" s="22"/>
      <c r="FT174" s="22"/>
      <c r="FU174" s="61"/>
      <c r="FV174" s="19"/>
      <c r="FW174" s="19"/>
      <c r="FX174" s="19"/>
      <c r="FY174" s="19"/>
      <c r="FZ174" s="19"/>
      <c r="GA174" s="19"/>
      <c r="GB174" s="19"/>
      <c r="GC174" s="20"/>
      <c r="GD174" s="20"/>
      <c r="GE174" s="21"/>
      <c r="GF174" s="21"/>
      <c r="GG174" s="21"/>
      <c r="GH174" s="21"/>
      <c r="GI174" s="21"/>
      <c r="GJ174" s="21"/>
      <c r="GK174" s="21"/>
      <c r="GL174" s="21"/>
      <c r="GM174" s="19"/>
      <c r="GN174" s="19"/>
      <c r="GO174" s="22"/>
      <c r="GP174" s="22"/>
      <c r="GQ174" s="22"/>
      <c r="GR174" s="22"/>
      <c r="GS174" s="22"/>
      <c r="GT174" s="22"/>
      <c r="GU174" s="61"/>
      <c r="GV174" s="19"/>
      <c r="GW174" s="19"/>
      <c r="GX174" s="19"/>
      <c r="GY174" s="19"/>
      <c r="GZ174" s="23"/>
      <c r="HA174" s="22"/>
      <c r="HB174" s="22"/>
      <c r="HC174" s="22"/>
      <c r="HD174" s="22"/>
      <c r="HE174" s="22"/>
      <c r="HF174" s="22"/>
      <c r="HG174" s="236"/>
    </row>
    <row r="175" spans="2:215" ht="15.75">
      <c r="B175" s="10"/>
      <c r="C175" s="184" t="s">
        <v>204</v>
      </c>
      <c r="D175" s="73"/>
      <c r="E175" s="73"/>
      <c r="F175" s="73"/>
      <c r="G175" s="73"/>
      <c r="H175" s="73"/>
      <c r="I175" s="73"/>
      <c r="J175" s="73"/>
      <c r="K175" s="73"/>
      <c r="L175" s="73"/>
      <c r="M175" s="143"/>
      <c r="N175" s="46"/>
      <c r="O175" s="74"/>
      <c r="P175" s="74"/>
      <c r="Q175" s="74"/>
      <c r="R175" s="46"/>
      <c r="S175" s="74"/>
      <c r="T175" s="74"/>
      <c r="U175" s="74"/>
      <c r="V175" s="52"/>
      <c r="W175" s="52"/>
      <c r="X175" s="52"/>
      <c r="Y175" s="22"/>
      <c r="Z175" s="22"/>
      <c r="AA175" s="22"/>
      <c r="AB175" s="22"/>
      <c r="AC175" s="22"/>
      <c r="AD175" s="22"/>
      <c r="AE175" s="22"/>
      <c r="AF175" s="22"/>
      <c r="AG175" s="22"/>
      <c r="AH175" s="52"/>
      <c r="AI175" s="52"/>
      <c r="AJ175" s="52"/>
      <c r="AK175" s="52"/>
      <c r="AL175" s="22"/>
      <c r="AM175" s="52"/>
      <c r="AN175" s="22"/>
      <c r="AO175" s="22"/>
      <c r="AP175" s="22"/>
      <c r="AQ175" s="22"/>
      <c r="AR175" s="22"/>
      <c r="AS175" s="22"/>
      <c r="AT175" s="22"/>
      <c r="AU175" s="22"/>
      <c r="AV175" s="77"/>
      <c r="AW175" s="77"/>
      <c r="AX175" s="136"/>
      <c r="AY175" s="22"/>
      <c r="AZ175" s="22"/>
      <c r="BA175" s="22"/>
      <c r="BB175" s="22"/>
      <c r="BC175" s="22"/>
      <c r="BD175" s="22"/>
      <c r="BE175" s="22"/>
      <c r="BF175" s="22"/>
      <c r="BG175" s="22"/>
      <c r="BH175" s="22"/>
      <c r="BI175" s="22"/>
      <c r="BJ175" s="61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19"/>
      <c r="CX175" s="19"/>
      <c r="CY175" s="19"/>
      <c r="CZ175" s="19"/>
      <c r="DA175" s="21"/>
      <c r="DB175" s="21"/>
      <c r="DC175" s="79"/>
      <c r="DD175" s="79"/>
      <c r="DE175" s="79"/>
      <c r="DF175" s="79"/>
      <c r="DG175" s="79"/>
      <c r="DH175" s="51"/>
      <c r="DI175" s="39"/>
      <c r="DJ175" s="80"/>
      <c r="DK175" s="39"/>
      <c r="DL175" s="39"/>
      <c r="DM175" s="48"/>
      <c r="DN175" s="39"/>
      <c r="DO175" s="39"/>
      <c r="DP175" s="39"/>
      <c r="DQ175" s="39"/>
      <c r="DR175" s="39"/>
      <c r="DS175" s="39"/>
      <c r="DT175" s="39"/>
      <c r="DU175" s="19"/>
      <c r="DV175" s="61"/>
      <c r="DW175" s="61"/>
      <c r="DX175" s="46"/>
      <c r="DY175" s="21"/>
      <c r="DZ175" s="19"/>
      <c r="EA175" s="19"/>
      <c r="EB175" s="19"/>
      <c r="EC175" s="48"/>
      <c r="ED175" s="48"/>
      <c r="EE175" s="22"/>
      <c r="EF175" s="22"/>
      <c r="EG175" s="22"/>
      <c r="EH175" s="22"/>
      <c r="EI175" s="22"/>
      <c r="EJ175" s="22"/>
      <c r="EK175" s="61"/>
      <c r="EL175" s="19"/>
      <c r="EM175" s="19"/>
      <c r="EN175" s="61"/>
      <c r="EO175" s="61"/>
      <c r="EP175" s="61"/>
      <c r="EQ175" s="21"/>
      <c r="ER175" s="21"/>
      <c r="ES175" s="21"/>
      <c r="ET175" s="21"/>
      <c r="EU175" s="19"/>
      <c r="EV175" s="21"/>
      <c r="EW175" s="39"/>
      <c r="EX175" s="39"/>
      <c r="EY175" s="39"/>
      <c r="EZ175" s="39"/>
      <c r="FA175" s="39"/>
      <c r="FB175" s="39"/>
      <c r="FC175" s="39"/>
      <c r="FD175" s="39"/>
      <c r="FE175" s="39"/>
      <c r="FF175" s="39"/>
      <c r="FG175" s="39"/>
      <c r="FH175" s="39"/>
      <c r="FI175" s="39"/>
      <c r="FJ175" s="19"/>
      <c r="FK175" s="19"/>
      <c r="FL175" s="19"/>
      <c r="FM175" s="19"/>
      <c r="FN175" s="19"/>
      <c r="FO175" s="22">
        <v>1380.42</v>
      </c>
      <c r="FP175" s="22">
        <v>1409.45</v>
      </c>
      <c r="FQ175" s="22"/>
      <c r="FR175" s="22">
        <v>1656.5</v>
      </c>
      <c r="FS175" s="22">
        <v>1691.34</v>
      </c>
      <c r="FT175" s="22"/>
      <c r="FU175" s="61" t="s">
        <v>728</v>
      </c>
      <c r="FV175" s="19"/>
      <c r="FW175" s="19"/>
      <c r="FX175" s="19"/>
      <c r="FY175" s="19"/>
      <c r="FZ175" s="19"/>
      <c r="GA175" s="19"/>
      <c r="GB175" s="19"/>
      <c r="GC175" s="20"/>
      <c r="GD175" s="20"/>
      <c r="GE175" s="21"/>
      <c r="GF175" s="21"/>
      <c r="GG175" s="21"/>
      <c r="GH175" s="21"/>
      <c r="GI175" s="21"/>
      <c r="GJ175" s="21"/>
      <c r="GK175" s="21"/>
      <c r="GL175" s="21"/>
      <c r="GM175" s="19"/>
      <c r="GN175" s="19"/>
      <c r="GO175" s="22">
        <v>1435.64</v>
      </c>
      <c r="GP175" s="22">
        <v>1485.89</v>
      </c>
      <c r="GQ175" s="22"/>
      <c r="GR175" s="22">
        <v>1694.06</v>
      </c>
      <c r="GS175" s="22">
        <v>1753.35</v>
      </c>
      <c r="GT175" s="22"/>
      <c r="GU175" s="236" t="s">
        <v>728</v>
      </c>
      <c r="GV175" s="19"/>
      <c r="GW175" s="19"/>
      <c r="GX175" s="19"/>
      <c r="GY175" s="19"/>
      <c r="GZ175" s="23"/>
      <c r="HA175" s="22" t="s">
        <v>633</v>
      </c>
      <c r="HB175" s="22" t="s">
        <v>633</v>
      </c>
      <c r="HC175" s="22"/>
      <c r="HD175" s="22" t="s">
        <v>633</v>
      </c>
      <c r="HE175" s="22" t="s">
        <v>633</v>
      </c>
      <c r="HF175" s="22"/>
      <c r="HG175" s="233" t="s">
        <v>633</v>
      </c>
    </row>
    <row r="176" spans="2:215" ht="15.75">
      <c r="B176" s="10"/>
      <c r="C176" s="184" t="s">
        <v>300</v>
      </c>
      <c r="D176" s="73"/>
      <c r="E176" s="73"/>
      <c r="F176" s="73"/>
      <c r="G176" s="73"/>
      <c r="H176" s="73"/>
      <c r="I176" s="73"/>
      <c r="J176" s="73"/>
      <c r="K176" s="73"/>
      <c r="L176" s="73"/>
      <c r="M176" s="143"/>
      <c r="N176" s="46"/>
      <c r="O176" s="74"/>
      <c r="P176" s="74"/>
      <c r="Q176" s="74"/>
      <c r="R176" s="46"/>
      <c r="S176" s="74"/>
      <c r="T176" s="74"/>
      <c r="U176" s="74"/>
      <c r="V176" s="52"/>
      <c r="W176" s="52"/>
      <c r="X176" s="52"/>
      <c r="Y176" s="22"/>
      <c r="Z176" s="22"/>
      <c r="AA176" s="22"/>
      <c r="AB176" s="22"/>
      <c r="AC176" s="22"/>
      <c r="AD176" s="22"/>
      <c r="AE176" s="22"/>
      <c r="AF176" s="22"/>
      <c r="AG176" s="22"/>
      <c r="AH176" s="52"/>
      <c r="AI176" s="52"/>
      <c r="AJ176" s="52"/>
      <c r="AK176" s="52"/>
      <c r="AL176" s="22"/>
      <c r="AM176" s="52"/>
      <c r="AN176" s="22"/>
      <c r="AO176" s="22"/>
      <c r="AP176" s="22"/>
      <c r="AQ176" s="22"/>
      <c r="AR176" s="22"/>
      <c r="AS176" s="22"/>
      <c r="AT176" s="22"/>
      <c r="AU176" s="22"/>
      <c r="AV176" s="77"/>
      <c r="AW176" s="77"/>
      <c r="AX176" s="78"/>
      <c r="AY176" s="22"/>
      <c r="AZ176" s="22"/>
      <c r="BA176" s="22"/>
      <c r="BB176" s="22"/>
      <c r="BC176" s="22"/>
      <c r="BD176" s="22"/>
      <c r="BE176" s="22"/>
      <c r="BF176" s="22"/>
      <c r="BG176" s="22"/>
      <c r="BH176" s="22"/>
      <c r="BI176" s="22"/>
      <c r="BJ176" s="40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19"/>
      <c r="CX176" s="19"/>
      <c r="CY176" s="19"/>
      <c r="CZ176" s="19"/>
      <c r="DA176" s="21"/>
      <c r="DB176" s="21"/>
      <c r="DC176" s="79"/>
      <c r="DD176" s="79"/>
      <c r="DE176" s="79"/>
      <c r="DF176" s="79"/>
      <c r="DG176" s="79"/>
      <c r="DH176" s="51"/>
      <c r="DI176" s="39"/>
      <c r="DJ176" s="80"/>
      <c r="DK176" s="39"/>
      <c r="DL176" s="39"/>
      <c r="DM176" s="48"/>
      <c r="DN176" s="39"/>
      <c r="DO176" s="39"/>
      <c r="DP176" s="39"/>
      <c r="DQ176" s="39"/>
      <c r="DR176" s="39"/>
      <c r="DS176" s="39"/>
      <c r="DT176" s="39"/>
      <c r="DU176" s="19"/>
      <c r="DV176" s="40"/>
      <c r="DW176" s="40"/>
      <c r="DX176" s="46"/>
      <c r="DY176" s="21"/>
      <c r="DZ176" s="19"/>
      <c r="EA176" s="19"/>
      <c r="EB176" s="19"/>
      <c r="EC176" s="48"/>
      <c r="ED176" s="48"/>
      <c r="EE176" s="22"/>
      <c r="EF176" s="22"/>
      <c r="EG176" s="22"/>
      <c r="EH176" s="22"/>
      <c r="EI176" s="22"/>
      <c r="EJ176" s="22"/>
      <c r="EK176" s="40"/>
      <c r="EL176" s="19"/>
      <c r="EM176" s="19"/>
      <c r="EN176" s="40"/>
      <c r="EO176" s="40"/>
      <c r="EP176" s="40"/>
      <c r="EQ176" s="21"/>
      <c r="ER176" s="21"/>
      <c r="ES176" s="21"/>
      <c r="ET176" s="21"/>
      <c r="EU176" s="19"/>
      <c r="EV176" s="21"/>
      <c r="EW176" s="39"/>
      <c r="EX176" s="39"/>
      <c r="EY176" s="39"/>
      <c r="EZ176" s="39"/>
      <c r="FA176" s="39"/>
      <c r="FB176" s="39"/>
      <c r="FC176" s="39"/>
      <c r="FD176" s="39"/>
      <c r="FE176" s="39"/>
      <c r="FF176" s="39"/>
      <c r="FG176" s="39"/>
      <c r="FH176" s="39"/>
      <c r="FI176" s="39"/>
      <c r="FJ176" s="19"/>
      <c r="FK176" s="19"/>
      <c r="FL176" s="19"/>
      <c r="FM176" s="19"/>
      <c r="FN176" s="19"/>
      <c r="FO176" s="22">
        <v>117.47</v>
      </c>
      <c r="FP176" s="22">
        <v>119.77</v>
      </c>
      <c r="FQ176" s="22"/>
      <c r="FR176" s="22">
        <v>140.96</v>
      </c>
      <c r="FS176" s="22">
        <v>143.72</v>
      </c>
      <c r="FT176" s="22"/>
      <c r="FU176" s="40" t="s">
        <v>729</v>
      </c>
      <c r="FV176" s="19"/>
      <c r="FW176" s="19"/>
      <c r="FX176" s="19"/>
      <c r="FY176" s="19"/>
      <c r="FZ176" s="19"/>
      <c r="GA176" s="19"/>
      <c r="GB176" s="19"/>
      <c r="GC176" s="20"/>
      <c r="GD176" s="20"/>
      <c r="GE176" s="21"/>
      <c r="GF176" s="21"/>
      <c r="GG176" s="21"/>
      <c r="GH176" s="21"/>
      <c r="GI176" s="21"/>
      <c r="GJ176" s="21"/>
      <c r="GK176" s="21"/>
      <c r="GL176" s="21"/>
      <c r="GM176" s="19"/>
      <c r="GN176" s="19"/>
      <c r="GO176" s="22">
        <v>125.37</v>
      </c>
      <c r="GP176" s="22">
        <v>129.86000000000001</v>
      </c>
      <c r="GQ176" s="22"/>
      <c r="GR176" s="22">
        <v>147.94</v>
      </c>
      <c r="GS176" s="22">
        <v>153.22999999999999</v>
      </c>
      <c r="GT176" s="22"/>
      <c r="GU176" s="236" t="s">
        <v>729</v>
      </c>
      <c r="GV176" s="19"/>
      <c r="GW176" s="19"/>
      <c r="GX176" s="19"/>
      <c r="GY176" s="19"/>
      <c r="GZ176" s="23"/>
      <c r="HA176" s="22" t="s">
        <v>633</v>
      </c>
      <c r="HB176" s="22" t="s">
        <v>633</v>
      </c>
      <c r="HC176" s="22"/>
      <c r="HD176" s="22" t="s">
        <v>633</v>
      </c>
      <c r="HE176" s="22" t="s">
        <v>633</v>
      </c>
      <c r="HF176" s="22"/>
      <c r="HG176" s="233" t="s">
        <v>633</v>
      </c>
    </row>
    <row r="177" spans="2:215" ht="15.75">
      <c r="B177" s="10"/>
      <c r="C177" s="192" t="s">
        <v>613</v>
      </c>
      <c r="D177" s="73"/>
      <c r="E177" s="73"/>
      <c r="F177" s="73"/>
      <c r="G177" s="73"/>
      <c r="H177" s="73"/>
      <c r="I177" s="73"/>
      <c r="J177" s="73"/>
      <c r="K177" s="73"/>
      <c r="L177" s="73"/>
      <c r="M177" s="143"/>
      <c r="N177" s="46"/>
      <c r="O177" s="74"/>
      <c r="P177" s="74"/>
      <c r="Q177" s="74"/>
      <c r="R177" s="46"/>
      <c r="S177" s="74"/>
      <c r="T177" s="74"/>
      <c r="U177" s="74"/>
      <c r="V177" s="52"/>
      <c r="W177" s="52"/>
      <c r="X177" s="52"/>
      <c r="Y177" s="22"/>
      <c r="Z177" s="22"/>
      <c r="AA177" s="22"/>
      <c r="AB177" s="22"/>
      <c r="AC177" s="22"/>
      <c r="AD177" s="22"/>
      <c r="AE177" s="22"/>
      <c r="AF177" s="22"/>
      <c r="AG177" s="22"/>
      <c r="AH177" s="52"/>
      <c r="AI177" s="52"/>
      <c r="AJ177" s="52"/>
      <c r="AK177" s="52"/>
      <c r="AL177" s="22"/>
      <c r="AM177" s="52"/>
      <c r="AN177" s="22"/>
      <c r="AO177" s="22"/>
      <c r="AP177" s="22"/>
      <c r="AQ177" s="22"/>
      <c r="AR177" s="22"/>
      <c r="AS177" s="22"/>
      <c r="AT177" s="22"/>
      <c r="AU177" s="22"/>
      <c r="AV177" s="77"/>
      <c r="AW177" s="77"/>
      <c r="AX177" s="78"/>
      <c r="AY177" s="22"/>
      <c r="AZ177" s="22"/>
      <c r="BA177" s="22"/>
      <c r="BB177" s="22"/>
      <c r="BC177" s="22"/>
      <c r="BD177" s="22"/>
      <c r="BE177" s="22"/>
      <c r="BF177" s="22"/>
      <c r="BG177" s="22"/>
      <c r="BH177" s="22"/>
      <c r="BI177" s="22"/>
      <c r="BJ177" s="40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19"/>
      <c r="CX177" s="19"/>
      <c r="CY177" s="19"/>
      <c r="CZ177" s="19"/>
      <c r="DA177" s="21"/>
      <c r="DB177" s="21"/>
      <c r="DC177" s="79"/>
      <c r="DD177" s="79"/>
      <c r="DE177" s="79"/>
      <c r="DF177" s="79"/>
      <c r="DG177" s="79"/>
      <c r="DH177" s="51"/>
      <c r="DI177" s="39"/>
      <c r="DJ177" s="80"/>
      <c r="DK177" s="39"/>
      <c r="DL177" s="39"/>
      <c r="DM177" s="48"/>
      <c r="DN177" s="39"/>
      <c r="DO177" s="39"/>
      <c r="DP177" s="39"/>
      <c r="DQ177" s="39"/>
      <c r="DR177" s="39"/>
      <c r="DS177" s="39"/>
      <c r="DT177" s="39"/>
      <c r="DU177" s="19"/>
      <c r="DV177" s="40"/>
      <c r="DW177" s="40"/>
      <c r="DX177" s="46"/>
      <c r="DY177" s="21"/>
      <c r="DZ177" s="19"/>
      <c r="EA177" s="19"/>
      <c r="EB177" s="19"/>
      <c r="EC177" s="48"/>
      <c r="ED177" s="48"/>
      <c r="EE177" s="22"/>
      <c r="EF177" s="22"/>
      <c r="EG177" s="22"/>
      <c r="EH177" s="22"/>
      <c r="EI177" s="22"/>
      <c r="EJ177" s="22"/>
      <c r="EK177" s="40"/>
      <c r="EL177" s="19"/>
      <c r="EM177" s="19"/>
      <c r="EN177" s="40"/>
      <c r="EO177" s="40"/>
      <c r="EP177" s="40"/>
      <c r="EQ177" s="21"/>
      <c r="ER177" s="21"/>
      <c r="ES177" s="21"/>
      <c r="ET177" s="21"/>
      <c r="EU177" s="19"/>
      <c r="EV177" s="21"/>
      <c r="EW177" s="39"/>
      <c r="EX177" s="39"/>
      <c r="EY177" s="39"/>
      <c r="EZ177" s="39"/>
      <c r="FA177" s="39"/>
      <c r="FB177" s="39"/>
      <c r="FC177" s="39"/>
      <c r="FD177" s="39"/>
      <c r="FE177" s="39"/>
      <c r="FF177" s="39"/>
      <c r="FG177" s="39"/>
      <c r="FH177" s="39"/>
      <c r="FI177" s="39"/>
      <c r="FJ177" s="19"/>
      <c r="FK177" s="19"/>
      <c r="FL177" s="19"/>
      <c r="FM177" s="19"/>
      <c r="FN177" s="19"/>
      <c r="FO177" s="22"/>
      <c r="FP177" s="22"/>
      <c r="FQ177" s="22"/>
      <c r="FR177" s="22"/>
      <c r="FS177" s="22"/>
      <c r="FT177" s="22"/>
      <c r="FU177" s="40"/>
      <c r="FV177" s="19"/>
      <c r="FW177" s="19"/>
      <c r="FX177" s="19"/>
      <c r="FY177" s="19"/>
      <c r="FZ177" s="19"/>
      <c r="GA177" s="19"/>
      <c r="GB177" s="19"/>
      <c r="GC177" s="20"/>
      <c r="GD177" s="20"/>
      <c r="GE177" s="21"/>
      <c r="GF177" s="21"/>
      <c r="GG177" s="21"/>
      <c r="GH177" s="21"/>
      <c r="GI177" s="21"/>
      <c r="GJ177" s="21"/>
      <c r="GK177" s="21"/>
      <c r="GL177" s="21"/>
      <c r="GM177" s="19"/>
      <c r="GN177" s="19"/>
      <c r="GO177" s="22"/>
      <c r="GP177" s="22"/>
      <c r="GQ177" s="22"/>
      <c r="GR177" s="22"/>
      <c r="GS177" s="22"/>
      <c r="GT177" s="22"/>
      <c r="GU177" s="43"/>
      <c r="GV177" s="19"/>
      <c r="GW177" s="19"/>
      <c r="GX177" s="19"/>
      <c r="GY177" s="19"/>
      <c r="GZ177" s="23"/>
      <c r="HA177" s="22"/>
      <c r="HB177" s="22"/>
      <c r="HC177" s="22"/>
      <c r="HD177" s="22"/>
      <c r="HE177" s="22"/>
      <c r="HF177" s="22"/>
      <c r="HG177" s="233"/>
    </row>
    <row r="178" spans="2:215" ht="15.75">
      <c r="B178" s="10"/>
      <c r="C178" s="184" t="s">
        <v>204</v>
      </c>
      <c r="D178" s="73"/>
      <c r="E178" s="73"/>
      <c r="F178" s="73"/>
      <c r="G178" s="73"/>
      <c r="H178" s="73"/>
      <c r="I178" s="73"/>
      <c r="J178" s="73"/>
      <c r="K178" s="73"/>
      <c r="L178" s="73"/>
      <c r="M178" s="143"/>
      <c r="N178" s="46"/>
      <c r="O178" s="74"/>
      <c r="P178" s="74"/>
      <c r="Q178" s="74"/>
      <c r="R178" s="46"/>
      <c r="S178" s="74"/>
      <c r="T178" s="74"/>
      <c r="U178" s="74"/>
      <c r="V178" s="52"/>
      <c r="W178" s="52"/>
      <c r="X178" s="52"/>
      <c r="Y178" s="22"/>
      <c r="Z178" s="22"/>
      <c r="AA178" s="22"/>
      <c r="AB178" s="22"/>
      <c r="AC178" s="22"/>
      <c r="AD178" s="22"/>
      <c r="AE178" s="22"/>
      <c r="AF178" s="22"/>
      <c r="AG178" s="22"/>
      <c r="AH178" s="52"/>
      <c r="AI178" s="52"/>
      <c r="AJ178" s="52"/>
      <c r="AK178" s="52"/>
      <c r="AL178" s="22"/>
      <c r="AM178" s="52"/>
      <c r="AN178" s="22"/>
      <c r="AO178" s="22"/>
      <c r="AP178" s="22"/>
      <c r="AQ178" s="22"/>
      <c r="AR178" s="22"/>
      <c r="AS178" s="22"/>
      <c r="AT178" s="22"/>
      <c r="AU178" s="22"/>
      <c r="AV178" s="77"/>
      <c r="AW178" s="77"/>
      <c r="AX178" s="78"/>
      <c r="AY178" s="22"/>
      <c r="AZ178" s="22"/>
      <c r="BA178" s="22"/>
      <c r="BB178" s="22"/>
      <c r="BC178" s="22"/>
      <c r="BD178" s="22"/>
      <c r="BE178" s="22"/>
      <c r="BF178" s="22"/>
      <c r="BG178" s="22"/>
      <c r="BH178" s="22"/>
      <c r="BI178" s="22"/>
      <c r="BJ178" s="40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19"/>
      <c r="CX178" s="19"/>
      <c r="CY178" s="19"/>
      <c r="CZ178" s="19"/>
      <c r="DA178" s="21"/>
      <c r="DB178" s="21"/>
      <c r="DC178" s="79"/>
      <c r="DD178" s="79"/>
      <c r="DE178" s="79"/>
      <c r="DF178" s="79"/>
      <c r="DG178" s="79"/>
      <c r="DH178" s="51"/>
      <c r="DI178" s="39"/>
      <c r="DJ178" s="80"/>
      <c r="DK178" s="39"/>
      <c r="DL178" s="39"/>
      <c r="DM178" s="48"/>
      <c r="DN178" s="39"/>
      <c r="DO178" s="39"/>
      <c r="DP178" s="39"/>
      <c r="DQ178" s="39"/>
      <c r="DR178" s="39"/>
      <c r="DS178" s="39"/>
      <c r="DT178" s="39"/>
      <c r="DU178" s="19"/>
      <c r="DV178" s="40"/>
      <c r="DW178" s="40"/>
      <c r="DX178" s="46"/>
      <c r="DY178" s="21"/>
      <c r="DZ178" s="19"/>
      <c r="EA178" s="19"/>
      <c r="EB178" s="19"/>
      <c r="EC178" s="48"/>
      <c r="ED178" s="48"/>
      <c r="EE178" s="22"/>
      <c r="EF178" s="22"/>
      <c r="EG178" s="22"/>
      <c r="EH178" s="22"/>
      <c r="EI178" s="22"/>
      <c r="EJ178" s="22"/>
      <c r="EK178" s="40"/>
      <c r="EL178" s="19"/>
      <c r="EM178" s="19"/>
      <c r="EN178" s="40"/>
      <c r="EO178" s="40"/>
      <c r="EP178" s="40"/>
      <c r="EQ178" s="21"/>
      <c r="ER178" s="21"/>
      <c r="ES178" s="21"/>
      <c r="ET178" s="21"/>
      <c r="EU178" s="19"/>
      <c r="EV178" s="21"/>
      <c r="EW178" s="39"/>
      <c r="EX178" s="39"/>
      <c r="EY178" s="39"/>
      <c r="EZ178" s="39"/>
      <c r="FA178" s="39"/>
      <c r="FB178" s="39"/>
      <c r="FC178" s="39"/>
      <c r="FD178" s="39"/>
      <c r="FE178" s="39"/>
      <c r="FF178" s="39"/>
      <c r="FG178" s="39"/>
      <c r="FH178" s="39"/>
      <c r="FI178" s="39"/>
      <c r="FJ178" s="19"/>
      <c r="FK178" s="19"/>
      <c r="FL178" s="19"/>
      <c r="FM178" s="19"/>
      <c r="FN178" s="19"/>
      <c r="FO178" s="22">
        <v>1798.13</v>
      </c>
      <c r="FP178" s="22">
        <v>1845.3</v>
      </c>
      <c r="FQ178" s="22"/>
      <c r="FR178" s="22">
        <v>1798.13</v>
      </c>
      <c r="FS178" s="22">
        <v>1845.3</v>
      </c>
      <c r="FT178" s="22"/>
      <c r="FU178" s="40" t="s">
        <v>673</v>
      </c>
      <c r="FV178" s="19"/>
      <c r="FW178" s="19"/>
      <c r="FX178" s="19"/>
      <c r="FY178" s="19"/>
      <c r="FZ178" s="19"/>
      <c r="GA178" s="19"/>
      <c r="GB178" s="19"/>
      <c r="GC178" s="20"/>
      <c r="GD178" s="20"/>
      <c r="GE178" s="21"/>
      <c r="GF178" s="21"/>
      <c r="GG178" s="21"/>
      <c r="GH178" s="21"/>
      <c r="GI178" s="21"/>
      <c r="GJ178" s="21"/>
      <c r="GK178" s="21"/>
      <c r="GL178" s="21"/>
      <c r="GM178" s="19"/>
      <c r="GN178" s="19"/>
      <c r="GO178" s="22">
        <v>1845.3</v>
      </c>
      <c r="GP178" s="22">
        <v>1882.87</v>
      </c>
      <c r="GQ178" s="22"/>
      <c r="GR178" s="22">
        <v>1845.3</v>
      </c>
      <c r="GS178" s="22">
        <v>1882.87</v>
      </c>
      <c r="GT178" s="22"/>
      <c r="GU178" s="40" t="s">
        <v>673</v>
      </c>
      <c r="GV178" s="19"/>
      <c r="GW178" s="19"/>
      <c r="GX178" s="19"/>
      <c r="GY178" s="19"/>
      <c r="GZ178" s="23"/>
      <c r="HA178" s="22">
        <v>1882.87</v>
      </c>
      <c r="HB178" s="22">
        <v>1921.89</v>
      </c>
      <c r="HC178" s="22"/>
      <c r="HD178" s="22">
        <v>1882.87</v>
      </c>
      <c r="HE178" s="22">
        <v>1921.89</v>
      </c>
      <c r="HF178" s="22"/>
      <c r="HG178" s="236" t="s">
        <v>673</v>
      </c>
    </row>
    <row r="179" spans="2:215" ht="15.75">
      <c r="B179" s="10"/>
      <c r="C179" s="184" t="s">
        <v>300</v>
      </c>
      <c r="D179" s="73"/>
      <c r="E179" s="73"/>
      <c r="F179" s="73"/>
      <c r="G179" s="73"/>
      <c r="H179" s="73"/>
      <c r="I179" s="73"/>
      <c r="J179" s="73"/>
      <c r="K179" s="73"/>
      <c r="L179" s="73"/>
      <c r="M179" s="143"/>
      <c r="N179" s="46"/>
      <c r="O179" s="74"/>
      <c r="P179" s="74"/>
      <c r="Q179" s="74"/>
      <c r="R179" s="46"/>
      <c r="S179" s="74"/>
      <c r="T179" s="74"/>
      <c r="U179" s="74"/>
      <c r="V179" s="52"/>
      <c r="W179" s="52"/>
      <c r="X179" s="52"/>
      <c r="Y179" s="22"/>
      <c r="Z179" s="22"/>
      <c r="AA179" s="22"/>
      <c r="AB179" s="22"/>
      <c r="AC179" s="22"/>
      <c r="AD179" s="22"/>
      <c r="AE179" s="22"/>
      <c r="AF179" s="22"/>
      <c r="AG179" s="22"/>
      <c r="AH179" s="52"/>
      <c r="AI179" s="52"/>
      <c r="AJ179" s="52"/>
      <c r="AK179" s="52"/>
      <c r="AL179" s="22"/>
      <c r="AM179" s="52"/>
      <c r="AN179" s="22"/>
      <c r="AO179" s="22"/>
      <c r="AP179" s="22"/>
      <c r="AQ179" s="22"/>
      <c r="AR179" s="22"/>
      <c r="AS179" s="22"/>
      <c r="AT179" s="22"/>
      <c r="AU179" s="22"/>
      <c r="AV179" s="77"/>
      <c r="AW179" s="77"/>
      <c r="AX179" s="78"/>
      <c r="AY179" s="22"/>
      <c r="AZ179" s="22"/>
      <c r="BA179" s="22"/>
      <c r="BB179" s="22"/>
      <c r="BC179" s="22"/>
      <c r="BD179" s="22"/>
      <c r="BE179" s="22"/>
      <c r="BF179" s="22"/>
      <c r="BG179" s="22"/>
      <c r="BH179" s="22"/>
      <c r="BI179" s="22"/>
      <c r="BJ179" s="40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19"/>
      <c r="CX179" s="19"/>
      <c r="CY179" s="19"/>
      <c r="CZ179" s="19"/>
      <c r="DA179" s="21"/>
      <c r="DB179" s="21"/>
      <c r="DC179" s="79"/>
      <c r="DD179" s="79"/>
      <c r="DE179" s="79"/>
      <c r="DF179" s="79"/>
      <c r="DG179" s="79"/>
      <c r="DH179" s="51"/>
      <c r="DI179" s="39"/>
      <c r="DJ179" s="80"/>
      <c r="DK179" s="39"/>
      <c r="DL179" s="39"/>
      <c r="DM179" s="48"/>
      <c r="DN179" s="39"/>
      <c r="DO179" s="39"/>
      <c r="DP179" s="39"/>
      <c r="DQ179" s="39"/>
      <c r="DR179" s="39"/>
      <c r="DS179" s="39"/>
      <c r="DT179" s="39"/>
      <c r="DU179" s="19"/>
      <c r="DV179" s="40"/>
      <c r="DW179" s="40"/>
      <c r="DX179" s="46"/>
      <c r="DY179" s="21"/>
      <c r="DZ179" s="19"/>
      <c r="EA179" s="19"/>
      <c r="EB179" s="19"/>
      <c r="EC179" s="48"/>
      <c r="ED179" s="48"/>
      <c r="EE179" s="22"/>
      <c r="EF179" s="22"/>
      <c r="EG179" s="22"/>
      <c r="EH179" s="22"/>
      <c r="EI179" s="22"/>
      <c r="EJ179" s="22"/>
      <c r="EK179" s="40"/>
      <c r="EL179" s="19"/>
      <c r="EM179" s="19"/>
      <c r="EN179" s="40"/>
      <c r="EO179" s="40"/>
      <c r="EP179" s="40"/>
      <c r="EQ179" s="21"/>
      <c r="ER179" s="21"/>
      <c r="ES179" s="21"/>
      <c r="ET179" s="21"/>
      <c r="EU179" s="19"/>
      <c r="EV179" s="21"/>
      <c r="EW179" s="39"/>
      <c r="EX179" s="39"/>
      <c r="EY179" s="39"/>
      <c r="EZ179" s="39"/>
      <c r="FA179" s="39"/>
      <c r="FB179" s="39"/>
      <c r="FC179" s="39"/>
      <c r="FD179" s="39"/>
      <c r="FE179" s="39"/>
      <c r="FF179" s="39"/>
      <c r="FG179" s="39"/>
      <c r="FH179" s="39"/>
      <c r="FI179" s="39"/>
      <c r="FJ179" s="19"/>
      <c r="FK179" s="19"/>
      <c r="FL179" s="19"/>
      <c r="FM179" s="19">
        <v>809.91</v>
      </c>
      <c r="FN179" s="19">
        <v>568.19000000000005</v>
      </c>
      <c r="FO179" s="22">
        <v>190.73</v>
      </c>
      <c r="FP179" s="22">
        <v>194.26</v>
      </c>
      <c r="FQ179" s="22"/>
      <c r="FR179" s="22">
        <v>190.73</v>
      </c>
      <c r="FS179" s="22">
        <v>194.26</v>
      </c>
      <c r="FT179" s="22"/>
      <c r="FU179" s="140" t="s">
        <v>674</v>
      </c>
      <c r="FV179" s="19"/>
      <c r="FW179" s="19"/>
      <c r="FX179" s="19"/>
      <c r="FY179" s="19"/>
      <c r="FZ179" s="19"/>
      <c r="GA179" s="19"/>
      <c r="GB179" s="19"/>
      <c r="GC179" s="20"/>
      <c r="GD179" s="20"/>
      <c r="GE179" s="21"/>
      <c r="GF179" s="21"/>
      <c r="GG179" s="21"/>
      <c r="GH179" s="21"/>
      <c r="GI179" s="21"/>
      <c r="GJ179" s="21"/>
      <c r="GK179" s="21"/>
      <c r="GL179" s="21"/>
      <c r="GM179" s="19"/>
      <c r="GN179" s="19"/>
      <c r="GO179" s="22">
        <v>194.26</v>
      </c>
      <c r="GP179" s="22">
        <v>197.79</v>
      </c>
      <c r="GQ179" s="22"/>
      <c r="GR179" s="22">
        <v>194.26</v>
      </c>
      <c r="GS179" s="22">
        <v>197.79</v>
      </c>
      <c r="GT179" s="22"/>
      <c r="GU179" s="140" t="s">
        <v>674</v>
      </c>
      <c r="GV179" s="19"/>
      <c r="GW179" s="19"/>
      <c r="GX179" s="19"/>
      <c r="GY179" s="19"/>
      <c r="GZ179" s="23"/>
      <c r="HA179" s="22">
        <v>197.79</v>
      </c>
      <c r="HB179" s="22">
        <v>201.51</v>
      </c>
      <c r="HC179" s="22"/>
      <c r="HD179" s="22">
        <v>197.79</v>
      </c>
      <c r="HE179" s="22">
        <v>201.51</v>
      </c>
      <c r="HF179" s="22"/>
      <c r="HG179" s="238" t="s">
        <v>674</v>
      </c>
    </row>
    <row r="180" spans="2:215" ht="15.75">
      <c r="B180" s="10"/>
      <c r="C180" s="184" t="s">
        <v>131</v>
      </c>
      <c r="D180" s="73"/>
      <c r="E180" s="73"/>
      <c r="F180" s="73"/>
      <c r="G180" s="73"/>
      <c r="H180" s="73"/>
      <c r="I180" s="73"/>
      <c r="J180" s="73"/>
      <c r="K180" s="73"/>
      <c r="L180" s="73"/>
      <c r="M180" s="143"/>
      <c r="N180" s="46"/>
      <c r="O180" s="74"/>
      <c r="P180" s="74"/>
      <c r="Q180" s="74"/>
      <c r="R180" s="46"/>
      <c r="S180" s="74"/>
      <c r="T180" s="74"/>
      <c r="U180" s="74"/>
      <c r="V180" s="52"/>
      <c r="W180" s="52"/>
      <c r="X180" s="52"/>
      <c r="Y180" s="22"/>
      <c r="Z180" s="22"/>
      <c r="AA180" s="22"/>
      <c r="AB180" s="22"/>
      <c r="AC180" s="22"/>
      <c r="AD180" s="22"/>
      <c r="AE180" s="22"/>
      <c r="AF180" s="22"/>
      <c r="AG180" s="22"/>
      <c r="AH180" s="52"/>
      <c r="AI180" s="52"/>
      <c r="AJ180" s="52"/>
      <c r="AK180" s="52"/>
      <c r="AL180" s="22"/>
      <c r="AM180" s="52"/>
      <c r="AN180" s="22"/>
      <c r="AO180" s="22"/>
      <c r="AP180" s="22"/>
      <c r="AQ180" s="22"/>
      <c r="AR180" s="22"/>
      <c r="AS180" s="22"/>
      <c r="AT180" s="22"/>
      <c r="AU180" s="22"/>
      <c r="AV180" s="77"/>
      <c r="AW180" s="77"/>
      <c r="AX180" s="78"/>
      <c r="AY180" s="22"/>
      <c r="AZ180" s="22"/>
      <c r="BA180" s="22"/>
      <c r="BB180" s="22"/>
      <c r="BC180" s="22"/>
      <c r="BD180" s="22"/>
      <c r="BE180" s="22"/>
      <c r="BF180" s="22"/>
      <c r="BG180" s="22"/>
      <c r="BH180" s="22"/>
      <c r="BI180" s="22"/>
      <c r="BJ180" s="40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19"/>
      <c r="CX180" s="19"/>
      <c r="CY180" s="19"/>
      <c r="CZ180" s="19"/>
      <c r="DA180" s="21"/>
      <c r="DB180" s="21"/>
      <c r="DC180" s="79"/>
      <c r="DD180" s="79"/>
      <c r="DE180" s="79"/>
      <c r="DF180" s="79"/>
      <c r="DG180" s="79"/>
      <c r="DH180" s="51"/>
      <c r="DI180" s="39"/>
      <c r="DJ180" s="80"/>
      <c r="DK180" s="39"/>
      <c r="DL180" s="39"/>
      <c r="DM180" s="48"/>
      <c r="DN180" s="39"/>
      <c r="DO180" s="39"/>
      <c r="DP180" s="39"/>
      <c r="DQ180" s="39"/>
      <c r="DR180" s="39"/>
      <c r="DS180" s="39"/>
      <c r="DT180" s="39"/>
      <c r="DU180" s="19"/>
      <c r="DV180" s="40"/>
      <c r="DW180" s="40"/>
      <c r="DX180" s="46"/>
      <c r="DY180" s="21"/>
      <c r="DZ180" s="19"/>
      <c r="EA180" s="19"/>
      <c r="EB180" s="19"/>
      <c r="EC180" s="48"/>
      <c r="ED180" s="48"/>
      <c r="EE180" s="22"/>
      <c r="EF180" s="22"/>
      <c r="EG180" s="22"/>
      <c r="EH180" s="22"/>
      <c r="EI180" s="22"/>
      <c r="EJ180" s="22"/>
      <c r="EK180" s="40"/>
      <c r="EL180" s="19"/>
      <c r="EM180" s="19"/>
      <c r="EN180" s="40"/>
      <c r="EO180" s="40"/>
      <c r="EP180" s="40"/>
      <c r="EQ180" s="21"/>
      <c r="ER180" s="21"/>
      <c r="ES180" s="21"/>
      <c r="ET180" s="21"/>
      <c r="EU180" s="19"/>
      <c r="EV180" s="21"/>
      <c r="EW180" s="39"/>
      <c r="EX180" s="39"/>
      <c r="EY180" s="39"/>
      <c r="EZ180" s="39"/>
      <c r="FA180" s="39"/>
      <c r="FB180" s="39"/>
      <c r="FC180" s="39"/>
      <c r="FD180" s="39"/>
      <c r="FE180" s="39"/>
      <c r="FF180" s="39"/>
      <c r="FG180" s="39"/>
      <c r="FH180" s="39"/>
      <c r="FI180" s="39"/>
      <c r="FJ180" s="19"/>
      <c r="FK180" s="19"/>
      <c r="FL180" s="19"/>
      <c r="FM180" s="19">
        <v>622.84</v>
      </c>
      <c r="FN180" s="19">
        <v>463.44</v>
      </c>
      <c r="FO180" s="22">
        <v>74.39</v>
      </c>
      <c r="FP180" s="22">
        <v>74.87</v>
      </c>
      <c r="FQ180" s="22"/>
      <c r="FR180" s="22">
        <v>52.19</v>
      </c>
      <c r="FS180" s="22">
        <v>53.76</v>
      </c>
      <c r="FT180" s="22"/>
      <c r="FU180" s="243" t="s">
        <v>671</v>
      </c>
      <c r="FV180" s="19"/>
      <c r="FW180" s="19"/>
      <c r="FX180" s="19"/>
      <c r="FY180" s="19"/>
      <c r="FZ180" s="19"/>
      <c r="GA180" s="19"/>
      <c r="GB180" s="19"/>
      <c r="GC180" s="20"/>
      <c r="GD180" s="20"/>
      <c r="GE180" s="21"/>
      <c r="GF180" s="21"/>
      <c r="GG180" s="21"/>
      <c r="GH180" s="21"/>
      <c r="GI180" s="21"/>
      <c r="GJ180" s="21"/>
      <c r="GK180" s="21"/>
      <c r="GL180" s="21"/>
      <c r="GM180" s="19"/>
      <c r="GN180" s="19"/>
      <c r="GO180" s="22">
        <v>74.87</v>
      </c>
      <c r="GP180" s="22">
        <v>75.97</v>
      </c>
      <c r="GQ180" s="22"/>
      <c r="GR180" s="22">
        <v>53.76</v>
      </c>
      <c r="GS180" s="22">
        <v>55.91</v>
      </c>
      <c r="GT180" s="22"/>
      <c r="GU180" s="243" t="s">
        <v>671</v>
      </c>
      <c r="GV180" s="19"/>
      <c r="GW180" s="19"/>
      <c r="GX180" s="19"/>
      <c r="GY180" s="19"/>
      <c r="GZ180" s="23"/>
      <c r="HA180" s="22">
        <v>75.97</v>
      </c>
      <c r="HB180" s="22">
        <v>77.16</v>
      </c>
      <c r="HC180" s="22"/>
      <c r="HD180" s="22">
        <v>55.91</v>
      </c>
      <c r="HE180" s="22">
        <v>58.48</v>
      </c>
      <c r="HF180" s="22"/>
      <c r="HG180" s="243" t="s">
        <v>671</v>
      </c>
    </row>
    <row r="181" spans="2:215" ht="15.75">
      <c r="B181" s="10"/>
      <c r="C181" s="184" t="s">
        <v>249</v>
      </c>
      <c r="D181" s="73"/>
      <c r="E181" s="73"/>
      <c r="F181" s="73"/>
      <c r="G181" s="73"/>
      <c r="H181" s="73"/>
      <c r="I181" s="73"/>
      <c r="J181" s="73"/>
      <c r="K181" s="73"/>
      <c r="L181" s="73"/>
      <c r="M181" s="143"/>
      <c r="N181" s="46"/>
      <c r="O181" s="74"/>
      <c r="P181" s="74"/>
      <c r="Q181" s="74"/>
      <c r="R181" s="46"/>
      <c r="S181" s="74"/>
      <c r="T181" s="74"/>
      <c r="U181" s="74"/>
      <c r="V181" s="52"/>
      <c r="W181" s="52"/>
      <c r="X181" s="52"/>
      <c r="Y181" s="22"/>
      <c r="Z181" s="22"/>
      <c r="AA181" s="22"/>
      <c r="AB181" s="22"/>
      <c r="AC181" s="22"/>
      <c r="AD181" s="22"/>
      <c r="AE181" s="22"/>
      <c r="AF181" s="22"/>
      <c r="AG181" s="22"/>
      <c r="AH181" s="52"/>
      <c r="AI181" s="52"/>
      <c r="AJ181" s="52"/>
      <c r="AK181" s="52"/>
      <c r="AL181" s="22"/>
      <c r="AM181" s="52"/>
      <c r="AN181" s="22"/>
      <c r="AO181" s="22"/>
      <c r="AP181" s="22"/>
      <c r="AQ181" s="22"/>
      <c r="AR181" s="22"/>
      <c r="AS181" s="22"/>
      <c r="AT181" s="22"/>
      <c r="AU181" s="22"/>
      <c r="AV181" s="77"/>
      <c r="AW181" s="77"/>
      <c r="AX181" s="78"/>
      <c r="AY181" s="22"/>
      <c r="AZ181" s="22"/>
      <c r="BA181" s="22"/>
      <c r="BB181" s="22"/>
      <c r="BC181" s="22"/>
      <c r="BD181" s="22"/>
      <c r="BE181" s="22"/>
      <c r="BF181" s="22"/>
      <c r="BG181" s="22"/>
      <c r="BH181" s="22"/>
      <c r="BI181" s="22"/>
      <c r="BJ181" s="40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19"/>
      <c r="CX181" s="19"/>
      <c r="CY181" s="19"/>
      <c r="CZ181" s="19"/>
      <c r="DA181" s="21"/>
      <c r="DB181" s="21"/>
      <c r="DC181" s="79"/>
      <c r="DD181" s="79"/>
      <c r="DE181" s="79"/>
      <c r="DF181" s="79"/>
      <c r="DG181" s="79"/>
      <c r="DH181" s="51"/>
      <c r="DI181" s="39"/>
      <c r="DJ181" s="80"/>
      <c r="DK181" s="39"/>
      <c r="DL181" s="39"/>
      <c r="DM181" s="48"/>
      <c r="DN181" s="39"/>
      <c r="DO181" s="39"/>
      <c r="DP181" s="39"/>
      <c r="DQ181" s="39"/>
      <c r="DR181" s="39"/>
      <c r="DS181" s="39"/>
      <c r="DT181" s="39"/>
      <c r="DU181" s="19"/>
      <c r="DV181" s="40"/>
      <c r="DW181" s="40"/>
      <c r="DX181" s="46"/>
      <c r="DY181" s="21"/>
      <c r="DZ181" s="19"/>
      <c r="EA181" s="19"/>
      <c r="EB181" s="19"/>
      <c r="EC181" s="48"/>
      <c r="ED181" s="48"/>
      <c r="EE181" s="22"/>
      <c r="EF181" s="22"/>
      <c r="EG181" s="22"/>
      <c r="EH181" s="22"/>
      <c r="EI181" s="22"/>
      <c r="EJ181" s="22"/>
      <c r="EK181" s="40"/>
      <c r="EL181" s="19"/>
      <c r="EM181" s="19"/>
      <c r="EN181" s="40"/>
      <c r="EO181" s="40"/>
      <c r="EP181" s="40"/>
      <c r="EQ181" s="21"/>
      <c r="ER181" s="21"/>
      <c r="ES181" s="21"/>
      <c r="ET181" s="21"/>
      <c r="EU181" s="19"/>
      <c r="EV181" s="21"/>
      <c r="EW181" s="39"/>
      <c r="EX181" s="39"/>
      <c r="EY181" s="39"/>
      <c r="EZ181" s="39"/>
      <c r="FA181" s="39"/>
      <c r="FB181" s="39"/>
      <c r="FC181" s="39"/>
      <c r="FD181" s="39"/>
      <c r="FE181" s="39"/>
      <c r="FF181" s="39"/>
      <c r="FG181" s="39"/>
      <c r="FH181" s="39"/>
      <c r="FI181" s="39"/>
      <c r="FJ181" s="19"/>
      <c r="FK181" s="19"/>
      <c r="FL181" s="19"/>
      <c r="FM181" s="19">
        <v>92.35</v>
      </c>
      <c r="FN181" s="19">
        <v>75.959999999999994</v>
      </c>
      <c r="FO181" s="22">
        <v>52.25</v>
      </c>
      <c r="FP181" s="22">
        <v>52.53</v>
      </c>
      <c r="FQ181" s="22"/>
      <c r="FR181" s="22">
        <v>34.06</v>
      </c>
      <c r="FS181" s="22">
        <v>34.15</v>
      </c>
      <c r="FT181" s="22"/>
      <c r="FU181" s="243"/>
      <c r="FV181" s="19"/>
      <c r="FW181" s="19"/>
      <c r="FX181" s="19"/>
      <c r="FY181" s="19"/>
      <c r="FZ181" s="19"/>
      <c r="GA181" s="19"/>
      <c r="GB181" s="19"/>
      <c r="GC181" s="20"/>
      <c r="GD181" s="20"/>
      <c r="GE181" s="21"/>
      <c r="GF181" s="21"/>
      <c r="GG181" s="21"/>
      <c r="GH181" s="21"/>
      <c r="GI181" s="21"/>
      <c r="GJ181" s="21"/>
      <c r="GK181" s="21"/>
      <c r="GL181" s="21"/>
      <c r="GM181" s="19"/>
      <c r="GN181" s="19"/>
      <c r="GO181" s="22">
        <v>52.53</v>
      </c>
      <c r="GP181" s="22">
        <v>53.4</v>
      </c>
      <c r="GQ181" s="22"/>
      <c r="GR181" s="22">
        <v>34.15</v>
      </c>
      <c r="GS181" s="22">
        <v>35.520000000000003</v>
      </c>
      <c r="GT181" s="22"/>
      <c r="GU181" s="243"/>
      <c r="GV181" s="19"/>
      <c r="GW181" s="19"/>
      <c r="GX181" s="19"/>
      <c r="GY181" s="19"/>
      <c r="GZ181" s="23"/>
      <c r="HA181" s="22">
        <v>53.4</v>
      </c>
      <c r="HB181" s="22">
        <v>54.33</v>
      </c>
      <c r="HC181" s="22"/>
      <c r="HD181" s="22">
        <v>35.520000000000003</v>
      </c>
      <c r="HE181" s="22">
        <v>36.94</v>
      </c>
      <c r="HF181" s="22"/>
      <c r="HG181" s="243"/>
    </row>
    <row r="182" spans="2:215" ht="15.75">
      <c r="B182" s="15"/>
      <c r="C182" s="192" t="s">
        <v>634</v>
      </c>
      <c r="D182" s="73"/>
      <c r="E182" s="73"/>
      <c r="F182" s="73"/>
      <c r="G182" s="73"/>
      <c r="H182" s="73"/>
      <c r="I182" s="73"/>
      <c r="J182" s="73"/>
      <c r="K182" s="73"/>
      <c r="L182" s="73"/>
      <c r="M182" s="143"/>
      <c r="N182" s="46"/>
      <c r="O182" s="74"/>
      <c r="P182" s="74"/>
      <c r="Q182" s="74"/>
      <c r="R182" s="46"/>
      <c r="S182" s="74"/>
      <c r="T182" s="74"/>
      <c r="U182" s="74"/>
      <c r="V182" s="52"/>
      <c r="W182" s="52"/>
      <c r="X182" s="52"/>
      <c r="Y182" s="22"/>
      <c r="Z182" s="22"/>
      <c r="AA182" s="22"/>
      <c r="AB182" s="22"/>
      <c r="AC182" s="22"/>
      <c r="AD182" s="22"/>
      <c r="AE182" s="22"/>
      <c r="AF182" s="22"/>
      <c r="AG182" s="22"/>
      <c r="AH182" s="52"/>
      <c r="AI182" s="52"/>
      <c r="AJ182" s="52"/>
      <c r="AK182" s="52"/>
      <c r="AL182" s="22"/>
      <c r="AM182" s="52"/>
      <c r="AN182" s="22"/>
      <c r="AO182" s="22"/>
      <c r="AP182" s="22"/>
      <c r="AQ182" s="22"/>
      <c r="AR182" s="22"/>
      <c r="AS182" s="22"/>
      <c r="AT182" s="22"/>
      <c r="AU182" s="22"/>
      <c r="AV182" s="77"/>
      <c r="AW182" s="77"/>
      <c r="AX182" s="78"/>
      <c r="AY182" s="22"/>
      <c r="AZ182" s="22"/>
      <c r="BA182" s="22"/>
      <c r="BB182" s="22"/>
      <c r="BC182" s="22"/>
      <c r="BD182" s="22"/>
      <c r="BE182" s="22"/>
      <c r="BF182" s="22"/>
      <c r="BG182" s="22"/>
      <c r="BH182" s="22"/>
      <c r="BI182" s="22"/>
      <c r="BJ182" s="40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19"/>
      <c r="CX182" s="19"/>
      <c r="CY182" s="19"/>
      <c r="CZ182" s="19"/>
      <c r="DA182" s="21"/>
      <c r="DB182" s="21"/>
      <c r="DC182" s="79"/>
      <c r="DD182" s="79"/>
      <c r="DE182" s="79"/>
      <c r="DF182" s="79"/>
      <c r="DG182" s="79"/>
      <c r="DH182" s="51"/>
      <c r="DI182" s="39"/>
      <c r="DJ182" s="80"/>
      <c r="DK182" s="39"/>
      <c r="DL182" s="39"/>
      <c r="DM182" s="48"/>
      <c r="DN182" s="39"/>
      <c r="DO182" s="39"/>
      <c r="DP182" s="39"/>
      <c r="DQ182" s="39"/>
      <c r="DR182" s="39"/>
      <c r="DS182" s="39"/>
      <c r="DT182" s="39"/>
      <c r="DU182" s="19"/>
      <c r="DV182" s="40"/>
      <c r="DW182" s="40"/>
      <c r="DX182" s="46"/>
      <c r="DY182" s="21"/>
      <c r="DZ182" s="19"/>
      <c r="EA182" s="19"/>
      <c r="EB182" s="19"/>
      <c r="EC182" s="48"/>
      <c r="ED182" s="48"/>
      <c r="EE182" s="22"/>
      <c r="EF182" s="22"/>
      <c r="EG182" s="22"/>
      <c r="EH182" s="22"/>
      <c r="EI182" s="22"/>
      <c r="EJ182" s="22"/>
      <c r="EK182" s="40"/>
      <c r="EL182" s="19"/>
      <c r="EM182" s="19"/>
      <c r="EN182" s="40"/>
      <c r="EO182" s="40"/>
      <c r="EP182" s="40"/>
      <c r="EQ182" s="21"/>
      <c r="ER182" s="21"/>
      <c r="ES182" s="21"/>
      <c r="ET182" s="21"/>
      <c r="EU182" s="19"/>
      <c r="EV182" s="21"/>
      <c r="EW182" s="39"/>
      <c r="EX182" s="39"/>
      <c r="EY182" s="39"/>
      <c r="EZ182" s="39"/>
      <c r="FA182" s="39"/>
      <c r="FB182" s="39"/>
      <c r="FC182" s="39"/>
      <c r="FD182" s="39"/>
      <c r="FE182" s="39"/>
      <c r="FF182" s="39"/>
      <c r="FG182" s="39"/>
      <c r="FH182" s="39"/>
      <c r="FI182" s="39"/>
      <c r="FJ182" s="19"/>
      <c r="FK182" s="19"/>
      <c r="FL182" s="19"/>
      <c r="FM182" s="19"/>
      <c r="FN182" s="19"/>
      <c r="FO182" s="22"/>
      <c r="FP182" s="22"/>
      <c r="FQ182" s="22"/>
      <c r="FR182" s="22"/>
      <c r="FS182" s="22"/>
      <c r="FT182" s="22"/>
      <c r="FU182" s="140"/>
      <c r="FV182" s="19"/>
      <c r="FW182" s="19"/>
      <c r="FX182" s="19"/>
      <c r="FY182" s="19"/>
      <c r="FZ182" s="19"/>
      <c r="GA182" s="19"/>
      <c r="GB182" s="19"/>
      <c r="GC182" s="20"/>
      <c r="GD182" s="20"/>
      <c r="GE182" s="21"/>
      <c r="GF182" s="21"/>
      <c r="GG182" s="21"/>
      <c r="GH182" s="21"/>
      <c r="GI182" s="21"/>
      <c r="GJ182" s="21"/>
      <c r="GK182" s="21"/>
      <c r="GL182" s="21"/>
      <c r="GM182" s="19"/>
      <c r="GN182" s="19"/>
      <c r="GO182" s="22"/>
      <c r="GP182" s="22"/>
      <c r="GQ182" s="22"/>
      <c r="GR182" s="22"/>
      <c r="GS182" s="22"/>
      <c r="GT182" s="22"/>
      <c r="GU182" s="43"/>
      <c r="GV182" s="19"/>
      <c r="GW182" s="19"/>
      <c r="GX182" s="19"/>
      <c r="GY182" s="19"/>
      <c r="GZ182" s="23"/>
      <c r="HA182" s="22"/>
      <c r="HB182" s="22"/>
      <c r="HC182" s="22"/>
      <c r="HD182" s="22"/>
      <c r="HE182" s="22"/>
      <c r="HF182" s="22"/>
      <c r="HG182" s="233"/>
    </row>
    <row r="183" spans="2:215" ht="16.149999999999999" customHeight="1" thickBot="1">
      <c r="B183" s="15"/>
      <c r="C183" s="184" t="s">
        <v>635</v>
      </c>
      <c r="D183" s="173"/>
      <c r="E183" s="173"/>
      <c r="F183" s="74"/>
      <c r="G183" s="74"/>
      <c r="H183" s="74"/>
      <c r="I183" s="173"/>
      <c r="J183" s="173"/>
      <c r="K183" s="173"/>
      <c r="L183" s="173"/>
      <c r="M183" s="173"/>
      <c r="N183" s="173"/>
      <c r="O183" s="76"/>
      <c r="P183" s="76"/>
      <c r="Q183" s="76"/>
      <c r="R183" s="173"/>
      <c r="S183" s="173"/>
      <c r="T183" s="173"/>
      <c r="U183" s="173"/>
      <c r="V183" s="52"/>
      <c r="W183" s="52"/>
      <c r="X183" s="52"/>
      <c r="Y183" s="52"/>
      <c r="Z183" s="22"/>
      <c r="AA183" s="52"/>
      <c r="AB183" s="22"/>
      <c r="AC183" s="22"/>
      <c r="AD183" s="22"/>
      <c r="AE183" s="22"/>
      <c r="AF183" s="22"/>
      <c r="AG183" s="22"/>
      <c r="AH183" s="22"/>
      <c r="AI183" s="22"/>
      <c r="AJ183" s="52"/>
      <c r="AK183" s="22"/>
      <c r="AL183" s="22"/>
      <c r="AM183" s="22"/>
      <c r="AN183" s="22"/>
      <c r="AO183" s="22"/>
      <c r="AP183" s="22"/>
      <c r="AQ183" s="22"/>
      <c r="AR183" s="22"/>
      <c r="AS183" s="22"/>
      <c r="AT183" s="22"/>
      <c r="AU183" s="22"/>
      <c r="AV183" s="77"/>
      <c r="AW183" s="77"/>
      <c r="AX183" s="78"/>
      <c r="AY183" s="22"/>
      <c r="AZ183" s="22"/>
      <c r="BA183" s="22"/>
      <c r="BB183" s="22"/>
      <c r="BC183" s="22"/>
      <c r="BD183" s="22"/>
      <c r="BE183" s="22"/>
      <c r="BF183" s="22"/>
      <c r="BG183" s="22"/>
      <c r="BH183" s="22"/>
      <c r="BI183" s="22"/>
      <c r="BJ183" s="40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19"/>
      <c r="CX183" s="19"/>
      <c r="CY183" s="19"/>
      <c r="CZ183" s="19"/>
      <c r="DA183" s="21"/>
      <c r="DB183" s="21"/>
      <c r="DC183" s="79"/>
      <c r="DD183" s="79"/>
      <c r="DE183" s="79"/>
      <c r="DF183" s="79"/>
      <c r="DG183" s="79"/>
      <c r="DH183" s="51"/>
      <c r="DI183" s="39"/>
      <c r="DJ183" s="80"/>
      <c r="DK183" s="39"/>
      <c r="DL183" s="39"/>
      <c r="DM183" s="48"/>
      <c r="DN183" s="39"/>
      <c r="DO183" s="39"/>
      <c r="DP183" s="39"/>
      <c r="DQ183" s="39"/>
      <c r="DR183" s="39"/>
      <c r="DS183" s="39"/>
      <c r="DT183" s="39"/>
      <c r="DU183" s="19"/>
      <c r="DV183" s="40"/>
      <c r="DW183" s="40"/>
      <c r="DX183" s="21"/>
      <c r="DY183" s="21"/>
      <c r="DZ183" s="19"/>
      <c r="EA183" s="19"/>
      <c r="EB183" s="19"/>
      <c r="EC183" s="48"/>
      <c r="ED183" s="48"/>
      <c r="EE183" s="22"/>
      <c r="EF183" s="22"/>
      <c r="EG183" s="22"/>
      <c r="EH183" s="22"/>
      <c r="EI183" s="22"/>
      <c r="EJ183" s="22"/>
      <c r="EK183" s="83"/>
      <c r="EL183" s="19"/>
      <c r="EM183" s="19"/>
      <c r="EN183" s="40"/>
      <c r="EO183" s="40"/>
      <c r="EP183" s="40"/>
      <c r="EQ183" s="21"/>
      <c r="ER183" s="21"/>
      <c r="ES183" s="19"/>
      <c r="ET183" s="19"/>
      <c r="EU183" s="19"/>
      <c r="EV183" s="21"/>
      <c r="EW183" s="39"/>
      <c r="EX183" s="39"/>
      <c r="EY183" s="39"/>
      <c r="EZ183" s="39"/>
      <c r="FA183" s="39"/>
      <c r="FB183" s="39"/>
      <c r="FC183" s="39"/>
      <c r="FD183" s="39"/>
      <c r="FE183" s="39"/>
      <c r="FF183" s="39"/>
      <c r="FG183" s="39"/>
      <c r="FH183" s="39"/>
      <c r="FI183" s="39"/>
      <c r="FJ183" s="19"/>
      <c r="FK183" s="19"/>
      <c r="FL183" s="19"/>
      <c r="FM183" s="19"/>
      <c r="FN183" s="19"/>
      <c r="FO183" s="57">
        <v>326.68</v>
      </c>
      <c r="FP183" s="57">
        <v>365.9</v>
      </c>
      <c r="FQ183" s="57">
        <f t="shared" ref="FQ183" si="868">+IF(FO183=0,,FP183/FO183*100)</f>
        <v>112.00563242316639</v>
      </c>
      <c r="FR183" s="57">
        <v>392.02</v>
      </c>
      <c r="FS183" s="57">
        <v>439.08</v>
      </c>
      <c r="FT183" s="57">
        <f t="shared" ref="FT183" si="869">+IF(FR183=0,,FS183/FR183*100)</f>
        <v>112.00448956685885</v>
      </c>
      <c r="FU183" s="83" t="s">
        <v>625</v>
      </c>
      <c r="FV183" s="19"/>
      <c r="FW183" s="19"/>
      <c r="FX183" s="58"/>
      <c r="FY183" s="58"/>
      <c r="FZ183" s="58"/>
      <c r="GA183" s="19"/>
      <c r="GB183" s="19"/>
      <c r="GC183" s="20"/>
      <c r="GD183" s="20"/>
      <c r="GE183" s="19"/>
      <c r="GF183" s="19"/>
      <c r="GG183" s="19"/>
      <c r="GH183" s="19"/>
      <c r="GI183" s="19"/>
      <c r="GJ183" s="19"/>
      <c r="GK183" s="19"/>
      <c r="GL183" s="19"/>
      <c r="GM183" s="19"/>
      <c r="GN183" s="19"/>
      <c r="GO183" s="57">
        <v>365.9</v>
      </c>
      <c r="GP183" s="57">
        <v>622.91</v>
      </c>
      <c r="GQ183" s="57"/>
      <c r="GR183" s="57">
        <v>439.08</v>
      </c>
      <c r="GS183" s="57">
        <v>747.49</v>
      </c>
      <c r="GT183" s="57"/>
      <c r="GU183" s="83" t="s">
        <v>625</v>
      </c>
      <c r="GV183" s="19"/>
      <c r="GW183" s="19"/>
      <c r="GX183" s="19"/>
      <c r="GY183" s="19"/>
      <c r="GZ183" s="23"/>
      <c r="HA183" s="57">
        <v>622.91</v>
      </c>
      <c r="HB183" s="57">
        <v>460</v>
      </c>
      <c r="HC183" s="57"/>
      <c r="HD183" s="57">
        <v>747.49</v>
      </c>
      <c r="HE183" s="57">
        <v>552</v>
      </c>
      <c r="HF183" s="57"/>
      <c r="HG183" s="235" t="s">
        <v>625</v>
      </c>
    </row>
    <row r="184" spans="2:215" ht="16.5" thickBot="1">
      <c r="B184" s="7" t="s">
        <v>323</v>
      </c>
      <c r="C184" s="80" t="s">
        <v>324</v>
      </c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>
        <f t="shared" ref="X184:X199" si="870">+IF(V184=0,,W184/V184*100)</f>
        <v>0</v>
      </c>
      <c r="Y184" s="80"/>
      <c r="Z184" s="80">
        <f t="shared" si="852"/>
        <v>0</v>
      </c>
      <c r="AA184" s="80"/>
      <c r="AB184" s="80">
        <f t="shared" si="853"/>
        <v>0</v>
      </c>
      <c r="AC184" s="80"/>
      <c r="AD184" s="80"/>
      <c r="AE184" s="80">
        <f t="shared" si="810"/>
        <v>0</v>
      </c>
      <c r="AF184" s="80"/>
      <c r="AG184" s="80">
        <f>+IF(AC184=0,,AF184/AC184*100)</f>
        <v>0</v>
      </c>
      <c r="AH184" s="80"/>
      <c r="AI184" s="80"/>
      <c r="AJ184" s="80">
        <f t="shared" si="854"/>
        <v>0</v>
      </c>
      <c r="AK184" s="80"/>
      <c r="AL184" s="80">
        <f t="shared" si="855"/>
        <v>0</v>
      </c>
      <c r="AM184" s="80"/>
      <c r="AN184" s="80">
        <f t="shared" si="856"/>
        <v>0</v>
      </c>
      <c r="AO184" s="80">
        <f t="shared" ref="AO184:AO199" si="871">+IF(V184=0,,AA184/V184*100)</f>
        <v>0</v>
      </c>
      <c r="AP184" s="80">
        <f t="shared" si="857"/>
        <v>0</v>
      </c>
      <c r="AQ184" s="80"/>
      <c r="AR184" s="80"/>
      <c r="AS184" s="80">
        <f t="shared" si="811"/>
        <v>0</v>
      </c>
      <c r="AT184" s="80"/>
      <c r="AU184" s="80">
        <f>+IF(AQ184=0,,AT184/AQ184*100)</f>
        <v>0</v>
      </c>
      <c r="AV184" s="77"/>
      <c r="AW184" s="77">
        <f>+CY184/$CY$184*100</f>
        <v>100</v>
      </c>
      <c r="AX184" s="78"/>
      <c r="AY184" s="80">
        <f t="shared" si="775"/>
        <v>0</v>
      </c>
      <c r="AZ184" s="80"/>
      <c r="BA184" s="80"/>
      <c r="BB184" s="80"/>
      <c r="BC184" s="80"/>
      <c r="BD184" s="80"/>
      <c r="BE184" s="22">
        <f t="shared" si="776"/>
        <v>0</v>
      </c>
      <c r="BF184" s="80"/>
      <c r="BG184" s="80"/>
      <c r="BH184" s="22">
        <f t="shared" si="777"/>
        <v>0</v>
      </c>
      <c r="BI184" s="22"/>
      <c r="BJ184" s="40"/>
      <c r="BK184" s="80">
        <f t="shared" si="812"/>
        <v>0</v>
      </c>
      <c r="BL184" s="80">
        <f t="shared" si="858"/>
        <v>0</v>
      </c>
      <c r="BM184" s="80">
        <f t="shared" si="859"/>
        <v>0</v>
      </c>
      <c r="BN184" s="80">
        <f t="shared" si="860"/>
        <v>0</v>
      </c>
      <c r="BO184" s="80">
        <f t="shared" si="813"/>
        <v>0</v>
      </c>
      <c r="BP184" s="80">
        <f t="shared" si="861"/>
        <v>0</v>
      </c>
      <c r="BQ184" s="80">
        <f t="shared" ref="BQ184:BQ239" si="872">+(Y184-ROUND(AK184/1.18,2))*E184/1000</f>
        <v>0</v>
      </c>
      <c r="BR184" s="80">
        <f t="shared" si="862"/>
        <v>0</v>
      </c>
      <c r="BS184" s="80">
        <f t="shared" si="815"/>
        <v>0</v>
      </c>
      <c r="BT184" s="80">
        <f t="shared" si="863"/>
        <v>0</v>
      </c>
      <c r="BU184" s="80">
        <f t="shared" ref="BU184:BU239" si="873">+(AA184-ROUND(AM184/1.18,2))*E184/1000</f>
        <v>0</v>
      </c>
      <c r="BV184" s="80">
        <f t="shared" si="864"/>
        <v>0</v>
      </c>
      <c r="BW184" s="80"/>
      <c r="BX184" s="48">
        <f>+SUM(BX185:BX206)</f>
        <v>143.92708474576273</v>
      </c>
      <c r="BY184" s="48">
        <f>+SUM(BY185:BY206)</f>
        <v>0</v>
      </c>
      <c r="BZ184" s="80">
        <f>+AC184*R184/1000</f>
        <v>0</v>
      </c>
      <c r="CA184" s="80"/>
      <c r="CB184" s="48">
        <f>+SUM(CB185:CB206)</f>
        <v>159.00762711864408</v>
      </c>
      <c r="CC184" s="48">
        <f>+SUM(CC185:CC206)</f>
        <v>0</v>
      </c>
      <c r="CD184" s="80">
        <f t="shared" si="747"/>
        <v>0</v>
      </c>
      <c r="CE184" s="80">
        <f t="shared" si="822"/>
        <v>0</v>
      </c>
      <c r="CF184" s="80">
        <f t="shared" si="823"/>
        <v>0</v>
      </c>
      <c r="CG184" s="80">
        <f t="shared" si="824"/>
        <v>0</v>
      </c>
      <c r="CH184" s="80">
        <f t="shared" si="825"/>
        <v>0</v>
      </c>
      <c r="CI184" s="80">
        <f t="shared" si="826"/>
        <v>0</v>
      </c>
      <c r="CJ184" s="80">
        <f t="shared" si="827"/>
        <v>0</v>
      </c>
      <c r="CK184" s="80">
        <f t="shared" si="828"/>
        <v>0</v>
      </c>
      <c r="CL184" s="80">
        <f t="shared" si="829"/>
        <v>0</v>
      </c>
      <c r="CM184" s="80">
        <f t="shared" si="830"/>
        <v>0</v>
      </c>
      <c r="CN184" s="80">
        <f t="shared" si="831"/>
        <v>0</v>
      </c>
      <c r="CO184" s="80">
        <f t="shared" si="832"/>
        <v>0</v>
      </c>
      <c r="CP184" s="80">
        <f t="shared" si="833"/>
        <v>0</v>
      </c>
      <c r="CQ184" s="80">
        <f t="shared" si="834"/>
        <v>0</v>
      </c>
      <c r="CR184" s="80">
        <f t="shared" si="835"/>
        <v>0</v>
      </c>
      <c r="CS184" s="80">
        <f t="shared" si="836"/>
        <v>0</v>
      </c>
      <c r="CT184" s="80">
        <f t="shared" si="837"/>
        <v>0</v>
      </c>
      <c r="CU184" s="80">
        <f t="shared" si="838"/>
        <v>0</v>
      </c>
      <c r="CV184" s="80">
        <f t="shared" si="839"/>
        <v>0</v>
      </c>
      <c r="CW184" s="48" t="e">
        <f>+SUM(CW185:CW206)</f>
        <v>#REF!</v>
      </c>
      <c r="CX184" s="48" t="e">
        <f>+SUM(CX185:CX206)</f>
        <v>#REF!</v>
      </c>
      <c r="CY184" s="48">
        <f>+SUM(CY185:CY206)</f>
        <v>151.46735593220342</v>
      </c>
      <c r="CZ184" s="48">
        <f>+SUM(CZ185:CZ206)</f>
        <v>151.4616</v>
      </c>
      <c r="DA184" s="20" t="e">
        <f t="shared" si="844"/>
        <v>#REF!</v>
      </c>
      <c r="DB184" s="20">
        <f t="shared" si="845"/>
        <v>100.0038002584176</v>
      </c>
      <c r="DC184" s="20" t="e">
        <f t="shared" si="846"/>
        <v>#REF!</v>
      </c>
      <c r="DD184" s="20" t="e">
        <f t="shared" si="846"/>
        <v>#REF!</v>
      </c>
      <c r="DE184" s="79">
        <f t="shared" si="847"/>
        <v>0</v>
      </c>
      <c r="DF184" s="79">
        <f t="shared" si="847"/>
        <v>0</v>
      </c>
      <c r="DG184" s="79">
        <f t="shared" ref="DG184:DG241" si="874">+AF184*(Q184+U184)/1000</f>
        <v>0</v>
      </c>
      <c r="DH184" s="51">
        <f t="shared" si="848"/>
        <v>0</v>
      </c>
      <c r="DI184" s="39"/>
      <c r="DJ184" s="80">
        <f t="shared" si="849"/>
        <v>0</v>
      </c>
      <c r="DK184" s="39">
        <f t="shared" si="850"/>
        <v>0</v>
      </c>
      <c r="DL184" s="39">
        <f t="shared" si="851"/>
        <v>0</v>
      </c>
      <c r="DM184" s="48">
        <f>+AT184-'[2]тарифы (12-13) население 15%'!AP229</f>
        <v>0</v>
      </c>
      <c r="DN184" s="39"/>
      <c r="DO184" s="39"/>
      <c r="DP184" s="39"/>
      <c r="DQ184" s="39"/>
      <c r="DR184" s="39"/>
      <c r="DS184" s="39"/>
      <c r="DT184" s="39"/>
      <c r="DU184" s="19">
        <f t="shared" si="778"/>
        <v>0</v>
      </c>
      <c r="DV184" s="42">
        <f>+SUM(DV185:DV206)</f>
        <v>73027.464990328474</v>
      </c>
      <c r="DW184" s="42">
        <f>+SUM(DW185:DW206)</f>
        <v>173009.58775805161</v>
      </c>
      <c r="DX184" s="42">
        <f>+'[1]тарифы (НВВ) население на 4,2%'!CO238</f>
        <v>61.684124579384445</v>
      </c>
      <c r="DY184" s="42">
        <f t="shared" si="781"/>
        <v>42.210068202957082</v>
      </c>
      <c r="DZ184" s="19">
        <f t="shared" si="782"/>
        <v>0</v>
      </c>
      <c r="EA184" s="19">
        <f t="shared" si="783"/>
        <v>0</v>
      </c>
      <c r="EB184" s="19"/>
      <c r="EC184" s="22">
        <f>+SUM(EC185:EC206)</f>
        <v>84114.695393305083</v>
      </c>
      <c r="ED184" s="22">
        <f>+SUM(ED185:ED206)</f>
        <v>87647.792362983047</v>
      </c>
      <c r="EE184" s="80"/>
      <c r="EF184" s="80"/>
      <c r="EG184" s="22">
        <f t="shared" si="786"/>
        <v>0</v>
      </c>
      <c r="EH184" s="80"/>
      <c r="EI184" s="80"/>
      <c r="EJ184" s="22">
        <f t="shared" si="787"/>
        <v>0</v>
      </c>
      <c r="EK184" s="40"/>
      <c r="EL184" s="40"/>
      <c r="EM184" s="40"/>
      <c r="EN184" s="146">
        <f>+SUM(EN185:EN206)</f>
        <v>78439.841471949156</v>
      </c>
      <c r="EO184" s="146">
        <f>+SUM(EO185:EO206)</f>
        <v>186159.96837459999</v>
      </c>
      <c r="EP184" s="146" t="e">
        <f>+$EN$442/$EN$445*EN184</f>
        <v>#REF!</v>
      </c>
      <c r="EQ184" s="42">
        <f t="shared" si="790"/>
        <v>42.135719164986511</v>
      </c>
      <c r="ER184" s="42" t="e">
        <f>+IF((EN184+EP184)=0,,(EN184+EP184)/(EO184+EP184))*100</f>
        <v>#REF!</v>
      </c>
      <c r="ES184" s="42"/>
      <c r="ET184" s="42"/>
      <c r="EU184" s="19">
        <f t="shared" si="792"/>
        <v>0</v>
      </c>
      <c r="EV184" s="42"/>
      <c r="EW184" s="39"/>
      <c r="EX184" s="39">
        <f t="shared" si="768"/>
        <v>0</v>
      </c>
      <c r="EY184" s="39">
        <f t="shared" si="867"/>
        <v>0</v>
      </c>
      <c r="EZ184" s="39"/>
      <c r="FA184" s="39"/>
      <c r="FB184" s="39"/>
      <c r="FC184" s="39"/>
      <c r="FD184" s="39"/>
      <c r="FE184" s="39"/>
      <c r="FF184" s="39"/>
      <c r="FG184" s="39"/>
      <c r="FH184" s="39"/>
      <c r="FI184" s="39"/>
      <c r="FJ184" s="41">
        <f>+SUM(FJ186:FJ206)</f>
        <v>102150.23997620169</v>
      </c>
      <c r="FK184" s="41">
        <f>+SUM(FK186:FK206)</f>
        <v>107720.12690265084</v>
      </c>
      <c r="FL184" s="41">
        <f t="shared" si="795"/>
        <v>209870.36687885254</v>
      </c>
      <c r="FM184" s="40"/>
      <c r="FN184" s="40"/>
      <c r="FO184" s="80">
        <f t="shared" si="769"/>
        <v>0</v>
      </c>
      <c r="FP184" s="80"/>
      <c r="FQ184" s="22"/>
      <c r="FR184" s="80">
        <f t="shared" si="796"/>
        <v>0</v>
      </c>
      <c r="FS184" s="80"/>
      <c r="FT184" s="22"/>
      <c r="FU184" s="40"/>
      <c r="FV184" s="41">
        <f t="shared" ref="FV184:GB184" si="875">+SUM(FV186:FV206)</f>
        <v>0</v>
      </c>
      <c r="FW184" s="41">
        <f t="shared" si="875"/>
        <v>0</v>
      </c>
      <c r="FX184" s="41">
        <f t="shared" si="875"/>
        <v>0</v>
      </c>
      <c r="FY184" s="41">
        <f t="shared" si="875"/>
        <v>0</v>
      </c>
      <c r="FZ184" s="41">
        <f t="shared" si="875"/>
        <v>0</v>
      </c>
      <c r="GA184" s="41">
        <f t="shared" si="875"/>
        <v>0</v>
      </c>
      <c r="GB184" s="41">
        <f t="shared" si="875"/>
        <v>0</v>
      </c>
      <c r="GC184" s="20">
        <f t="shared" ref="GC184:GC210" si="876">+IF(FZ184=0,,FY184/FZ184*100)</f>
        <v>0</v>
      </c>
      <c r="GD184" s="20">
        <f t="shared" ref="GD184:GD209" si="877">+IF(GB184=0,,GA184/GB184*100)</f>
        <v>0</v>
      </c>
      <c r="GE184" s="42"/>
      <c r="GF184" s="42"/>
      <c r="GG184" s="42"/>
      <c r="GH184" s="42"/>
      <c r="GI184" s="42"/>
      <c r="GJ184" s="42"/>
      <c r="GK184" s="42"/>
      <c r="GL184" s="42"/>
      <c r="GM184" s="40"/>
      <c r="GN184" s="40"/>
      <c r="GO184" s="80"/>
      <c r="GP184" s="80"/>
      <c r="GQ184" s="22"/>
      <c r="GR184" s="80"/>
      <c r="GS184" s="80"/>
      <c r="GT184" s="22"/>
      <c r="GU184" s="43"/>
      <c r="GV184" s="41"/>
      <c r="GW184" s="41"/>
      <c r="GX184" s="41">
        <f>+SUM(GX185:GX206)</f>
        <v>0</v>
      </c>
      <c r="GY184" s="41">
        <f>+SUM(GY185:GY206)</f>
        <v>0</v>
      </c>
      <c r="GZ184" s="44">
        <f t="shared" ref="GZ184" si="878">+IF(GY184=0,,GX184/GY184*100)</f>
        <v>0</v>
      </c>
      <c r="HA184" s="80"/>
      <c r="HB184" s="80"/>
      <c r="HC184" s="22"/>
      <c r="HD184" s="80"/>
      <c r="HE184" s="80"/>
      <c r="HF184" s="22"/>
      <c r="HG184" s="233"/>
    </row>
    <row r="185" spans="2:215" ht="15.75">
      <c r="B185" s="10" t="s">
        <v>326</v>
      </c>
      <c r="C185" s="185" t="s">
        <v>152</v>
      </c>
      <c r="D185" s="143"/>
      <c r="E185" s="73"/>
      <c r="F185" s="74"/>
      <c r="G185" s="74"/>
      <c r="H185" s="74"/>
      <c r="I185" s="73"/>
      <c r="J185" s="74"/>
      <c r="K185" s="74"/>
      <c r="L185" s="74"/>
      <c r="M185" s="191"/>
      <c r="N185" s="191"/>
      <c r="O185" s="74"/>
      <c r="P185" s="74"/>
      <c r="Q185" s="74"/>
      <c r="R185" s="191"/>
      <c r="S185" s="74"/>
      <c r="T185" s="74"/>
      <c r="U185" s="74"/>
      <c r="V185" s="52"/>
      <c r="W185" s="52"/>
      <c r="X185" s="52"/>
      <c r="Y185" s="52"/>
      <c r="Z185" s="22"/>
      <c r="AA185" s="52"/>
      <c r="AB185" s="22"/>
      <c r="AC185" s="52"/>
      <c r="AD185" s="22"/>
      <c r="AE185" s="22"/>
      <c r="AF185" s="22"/>
      <c r="AG185" s="22">
        <f t="shared" si="773"/>
        <v>0</v>
      </c>
      <c r="AH185" s="52"/>
      <c r="AI185" s="52"/>
      <c r="AJ185" s="52"/>
      <c r="AK185" s="52"/>
      <c r="AL185" s="22"/>
      <c r="AM185" s="52"/>
      <c r="AN185" s="22"/>
      <c r="AO185" s="22"/>
      <c r="AP185" s="22"/>
      <c r="AQ185" s="22"/>
      <c r="AR185" s="22"/>
      <c r="AS185" s="22"/>
      <c r="AT185" s="22"/>
      <c r="AU185" s="22">
        <f t="shared" si="774"/>
        <v>0</v>
      </c>
      <c r="AV185" s="77"/>
      <c r="AW185" s="77"/>
      <c r="AX185" s="78"/>
      <c r="AY185" s="22">
        <f t="shared" si="775"/>
        <v>0</v>
      </c>
      <c r="AZ185" s="22"/>
      <c r="BA185" s="22"/>
      <c r="BB185" s="22"/>
      <c r="BC185" s="22"/>
      <c r="BD185" s="22"/>
      <c r="BE185" s="22">
        <f t="shared" si="776"/>
        <v>0</v>
      </c>
      <c r="BF185" s="22"/>
      <c r="BG185" s="22"/>
      <c r="BH185" s="22">
        <f t="shared" si="777"/>
        <v>0</v>
      </c>
      <c r="BI185" s="22"/>
      <c r="BJ185" s="40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19"/>
      <c r="CX185" s="19"/>
      <c r="CY185" s="19"/>
      <c r="CZ185" s="19"/>
      <c r="DA185" s="21"/>
      <c r="DB185" s="21"/>
      <c r="DC185" s="79"/>
      <c r="DD185" s="79"/>
      <c r="DE185" s="79"/>
      <c r="DF185" s="79"/>
      <c r="DG185" s="79"/>
      <c r="DH185" s="51"/>
      <c r="DI185" s="39"/>
      <c r="DJ185" s="80"/>
      <c r="DK185" s="39"/>
      <c r="DL185" s="39"/>
      <c r="DM185" s="48"/>
      <c r="DN185" s="39"/>
      <c r="DO185" s="39"/>
      <c r="DP185" s="39"/>
      <c r="DQ185" s="39"/>
      <c r="DR185" s="39"/>
      <c r="DS185" s="39"/>
      <c r="DT185" s="39"/>
      <c r="DU185" s="19">
        <f t="shared" si="778"/>
        <v>0</v>
      </c>
      <c r="DV185" s="40">
        <f t="shared" si="779"/>
        <v>0</v>
      </c>
      <c r="DW185" s="40">
        <f t="shared" si="780"/>
        <v>0</v>
      </c>
      <c r="DX185" s="46"/>
      <c r="DY185" s="21">
        <f t="shared" si="781"/>
        <v>0</v>
      </c>
      <c r="DZ185" s="19">
        <f t="shared" si="782"/>
        <v>0</v>
      </c>
      <c r="EA185" s="19">
        <f t="shared" si="783"/>
        <v>0</v>
      </c>
      <c r="EB185" s="19"/>
      <c r="EC185" s="48">
        <f t="shared" ref="EC185:EC206" si="879">+(BC185-BF185/1.18)*AZ185/2</f>
        <v>0</v>
      </c>
      <c r="ED185" s="48">
        <f t="shared" ref="ED185:ED206" si="880">+(BD185-BG185/1.18)*AZ185/2</f>
        <v>0</v>
      </c>
      <c r="EE185" s="22"/>
      <c r="EF185" s="22"/>
      <c r="EG185" s="22">
        <f t="shared" si="786"/>
        <v>0</v>
      </c>
      <c r="EH185" s="22"/>
      <c r="EI185" s="22"/>
      <c r="EJ185" s="22">
        <f t="shared" si="787"/>
        <v>0</v>
      </c>
      <c r="EK185" s="40"/>
      <c r="EL185" s="19"/>
      <c r="EM185" s="19"/>
      <c r="EN185" s="40">
        <f t="shared" si="788"/>
        <v>0</v>
      </c>
      <c r="EO185" s="40">
        <f t="shared" si="789"/>
        <v>0</v>
      </c>
      <c r="EP185" s="40"/>
      <c r="EQ185" s="21">
        <f t="shared" si="790"/>
        <v>0</v>
      </c>
      <c r="ER185" s="21"/>
      <c r="ES185" s="21">
        <f t="shared" ref="ES185:ES206" si="881">+EL185*EE185</f>
        <v>0</v>
      </c>
      <c r="ET185" s="21"/>
      <c r="EU185" s="19">
        <f t="shared" si="792"/>
        <v>0</v>
      </c>
      <c r="EV185" s="21"/>
      <c r="EW185" s="39"/>
      <c r="EX185" s="39">
        <f t="shared" ref="EX185:EX229" si="882">+BD185*AY185</f>
        <v>0</v>
      </c>
      <c r="EY185" s="39">
        <f t="shared" si="867"/>
        <v>0</v>
      </c>
      <c r="EZ185" s="39"/>
      <c r="FA185" s="39"/>
      <c r="FB185" s="39"/>
      <c r="FC185" s="39"/>
      <c r="FD185" s="39"/>
      <c r="FE185" s="39"/>
      <c r="FF185" s="39"/>
      <c r="FG185" s="39"/>
      <c r="FH185" s="39"/>
      <c r="FI185" s="39"/>
      <c r="FJ185" s="19">
        <f t="shared" si="793"/>
        <v>0</v>
      </c>
      <c r="FK185" s="19">
        <f t="shared" si="794"/>
        <v>0</v>
      </c>
      <c r="FL185" s="19">
        <f t="shared" si="795"/>
        <v>0</v>
      </c>
      <c r="FM185" s="19"/>
      <c r="FN185" s="19"/>
      <c r="FO185" s="22">
        <f t="shared" ref="FO185:FO222" si="883">+EF185</f>
        <v>0</v>
      </c>
      <c r="FP185" s="22"/>
      <c r="FQ185" s="22"/>
      <c r="FR185" s="22">
        <f t="shared" si="796"/>
        <v>0</v>
      </c>
      <c r="FS185" s="22"/>
      <c r="FT185" s="22"/>
      <c r="FU185" s="40"/>
      <c r="FV185" s="19">
        <f>+(FO185-FR185/1.18)*FN185</f>
        <v>0</v>
      </c>
      <c r="FW185" s="19">
        <f t="shared" ref="FW185" si="884">+(FP185-FS185/1.18)*FN185</f>
        <v>0</v>
      </c>
      <c r="FX185" s="19">
        <f t="shared" si="797"/>
        <v>0</v>
      </c>
      <c r="FY185" s="19">
        <f t="shared" si="798"/>
        <v>0</v>
      </c>
      <c r="FZ185" s="19">
        <f t="shared" si="799"/>
        <v>0</v>
      </c>
      <c r="GA185" s="19">
        <f t="shared" si="800"/>
        <v>0</v>
      </c>
      <c r="GB185" s="19">
        <f t="shared" si="801"/>
        <v>0</v>
      </c>
      <c r="GC185" s="20">
        <f t="shared" si="876"/>
        <v>0</v>
      </c>
      <c r="GD185" s="20">
        <f t="shared" si="877"/>
        <v>0</v>
      </c>
      <c r="GE185" s="21"/>
      <c r="GF185" s="21">
        <f t="shared" ref="GF185" si="885">+FR185*FN185</f>
        <v>0</v>
      </c>
      <c r="GG185" s="21"/>
      <c r="GH185" s="21"/>
      <c r="GI185" s="21">
        <f t="shared" ref="GI185" si="886">+FP185*FM185</f>
        <v>0</v>
      </c>
      <c r="GJ185" s="21">
        <f t="shared" ref="GJ185" si="887">+FS185*FN185</f>
        <v>0</v>
      </c>
      <c r="GK185" s="21"/>
      <c r="GL185" s="21"/>
      <c r="GM185" s="19"/>
      <c r="GN185" s="19"/>
      <c r="GO185" s="22"/>
      <c r="GP185" s="22"/>
      <c r="GQ185" s="22"/>
      <c r="GR185" s="22"/>
      <c r="GS185" s="22"/>
      <c r="GT185" s="22"/>
      <c r="GU185" s="43"/>
      <c r="GV185" s="19"/>
      <c r="GW185" s="19"/>
      <c r="GX185" s="19"/>
      <c r="GY185" s="19"/>
      <c r="GZ185" s="19"/>
      <c r="HA185" s="22"/>
      <c r="HB185" s="22"/>
      <c r="HC185" s="22"/>
      <c r="HD185" s="22"/>
      <c r="HE185" s="22"/>
      <c r="HF185" s="22"/>
      <c r="HG185" s="233"/>
    </row>
    <row r="186" spans="2:215" ht="31.5" customHeight="1">
      <c r="B186" s="10"/>
      <c r="C186" s="161" t="s">
        <v>327</v>
      </c>
      <c r="D186" s="143"/>
      <c r="E186" s="73"/>
      <c r="F186" s="74"/>
      <c r="G186" s="74"/>
      <c r="H186" s="74"/>
      <c r="I186" s="73"/>
      <c r="J186" s="74"/>
      <c r="K186" s="74"/>
      <c r="L186" s="74"/>
      <c r="M186" s="191"/>
      <c r="N186" s="191"/>
      <c r="O186" s="74"/>
      <c r="P186" s="74"/>
      <c r="Q186" s="74"/>
      <c r="R186" s="191"/>
      <c r="S186" s="74"/>
      <c r="T186" s="74"/>
      <c r="U186" s="74"/>
      <c r="V186" s="52"/>
      <c r="W186" s="52"/>
      <c r="X186" s="52"/>
      <c r="Y186" s="52"/>
      <c r="Z186" s="22"/>
      <c r="AA186" s="52"/>
      <c r="AB186" s="22"/>
      <c r="AC186" s="52"/>
      <c r="AD186" s="52">
        <v>2523.4</v>
      </c>
      <c r="AE186" s="22">
        <f>+IF(AC186=0,,AF186/AC186*100)</f>
        <v>0</v>
      </c>
      <c r="AF186" s="22">
        <v>2523.4</v>
      </c>
      <c r="AG186" s="22">
        <f t="shared" si="773"/>
        <v>100</v>
      </c>
      <c r="AH186" s="52"/>
      <c r="AI186" s="52"/>
      <c r="AJ186" s="52"/>
      <c r="AK186" s="52"/>
      <c r="AL186" s="22"/>
      <c r="AM186" s="52"/>
      <c r="AN186" s="22"/>
      <c r="AO186" s="22"/>
      <c r="AP186" s="22"/>
      <c r="AQ186" s="22"/>
      <c r="AR186" s="22">
        <v>1148.68</v>
      </c>
      <c r="AS186" s="22">
        <f>+IF(AQ186=0,,AT186/AQ186*100)</f>
        <v>0</v>
      </c>
      <c r="AT186" s="22">
        <v>1283.07</v>
      </c>
      <c r="AU186" s="22">
        <f t="shared" si="774"/>
        <v>111.69951596615245</v>
      </c>
      <c r="AV186" s="77"/>
      <c r="AW186" s="77"/>
      <c r="AX186" s="78" t="s">
        <v>139</v>
      </c>
      <c r="AY186" s="22">
        <f t="shared" si="775"/>
        <v>82.866799999999998</v>
      </c>
      <c r="AZ186" s="22">
        <f>+[8]БПр!$BX$1124/1000</f>
        <v>58.573549999999997</v>
      </c>
      <c r="BA186" s="22">
        <f>+[8]БПр!$BW$1124/1000</f>
        <v>16.994869999999999</v>
      </c>
      <c r="BB186" s="22">
        <f>+([8]БПр!$BY$1124+[8]БПр!$BP$1124)/1000</f>
        <v>7.2983799999999999</v>
      </c>
      <c r="BC186" s="22">
        <v>2523.4</v>
      </c>
      <c r="BD186" s="22">
        <v>2629.38</v>
      </c>
      <c r="BE186" s="22">
        <f t="shared" si="776"/>
        <v>104.19988903859871</v>
      </c>
      <c r="BF186" s="22">
        <v>1283.07</v>
      </c>
      <c r="BG186" s="22">
        <v>1336.95</v>
      </c>
      <c r="BH186" s="22">
        <f t="shared" si="777"/>
        <v>104.19930323365054</v>
      </c>
      <c r="BI186" s="22">
        <f>+BD186-BG186/1.18</f>
        <v>1496.3715254237288</v>
      </c>
      <c r="BJ186" s="40" t="s">
        <v>140</v>
      </c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19"/>
      <c r="CX186" s="19"/>
      <c r="CY186" s="19"/>
      <c r="CZ186" s="19"/>
      <c r="DA186" s="21"/>
      <c r="DB186" s="21"/>
      <c r="DC186" s="79"/>
      <c r="DD186" s="79"/>
      <c r="DE186" s="79"/>
      <c r="DF186" s="79"/>
      <c r="DG186" s="79"/>
      <c r="DH186" s="51"/>
      <c r="DI186" s="39"/>
      <c r="DJ186" s="80"/>
      <c r="DK186" s="39"/>
      <c r="DL186" s="39"/>
      <c r="DM186" s="48"/>
      <c r="DN186" s="39"/>
      <c r="DO186" s="39"/>
      <c r="DP186" s="39"/>
      <c r="DQ186" s="39"/>
      <c r="DR186" s="39"/>
      <c r="DS186" s="39"/>
      <c r="DT186" s="39"/>
      <c r="DU186" s="19">
        <f t="shared" si="778"/>
        <v>63689.800676694911</v>
      </c>
      <c r="DV186" s="40">
        <f t="shared" si="779"/>
        <v>66364.328536016954</v>
      </c>
      <c r="DW186" s="40">
        <f t="shared" si="780"/>
        <v>154012.120899</v>
      </c>
      <c r="DX186" s="21">
        <f>+('[1]тарифы (НВВ) население на 4,2%'!CL240+'[1]тарифы (НВВ) население на 4,2%'!CL241+'[1]тарифы (НВВ) население на 4,2%'!CL242)/('[1]тарифы (НВВ) население на 4,2%'!CM240+'[1]тарифы (НВВ) население на 4,2%'!CM241+'[1]тарифы (НВВ) население на 4,2%'!CM242)*100</f>
        <v>48.283666597818815</v>
      </c>
      <c r="DY186" s="21">
        <f t="shared" si="781"/>
        <v>43.090328312236018</v>
      </c>
      <c r="DZ186" s="19">
        <f t="shared" si="782"/>
        <v>209.10608311999999</v>
      </c>
      <c r="EA186" s="19">
        <f t="shared" si="783"/>
        <v>217.88830658399999</v>
      </c>
      <c r="EB186" s="48">
        <v>1859.47</v>
      </c>
      <c r="EC186" s="48">
        <f>+(BC186-BF186/1.18)*AZ186</f>
        <v>84114.695393305083</v>
      </c>
      <c r="ED186" s="48">
        <f>+(BD186-BG186/1.18)*AZ186</f>
        <v>87647.792362983047</v>
      </c>
      <c r="EE186" s="22">
        <v>2629.38</v>
      </c>
      <c r="EF186" s="22">
        <v>2813.43</v>
      </c>
      <c r="EG186" s="22">
        <f t="shared" si="786"/>
        <v>106.99974899025624</v>
      </c>
      <c r="EH186" s="22">
        <v>1336.95</v>
      </c>
      <c r="EI186" s="22">
        <v>1449.92</v>
      </c>
      <c r="EJ186" s="22">
        <f t="shared" si="787"/>
        <v>108.4498298365683</v>
      </c>
      <c r="EK186" s="40" t="s">
        <v>141</v>
      </c>
      <c r="EL186" s="19">
        <v>78.17456</v>
      </c>
      <c r="EM186" s="19">
        <v>56.796219999999998</v>
      </c>
      <c r="EN186" s="40">
        <f t="shared" si="788"/>
        <v>69788.114663050845</v>
      </c>
      <c r="EO186" s="40">
        <f t="shared" si="789"/>
        <v>159792.18923459999</v>
      </c>
      <c r="EP186" s="40"/>
      <c r="EQ186" s="21">
        <f t="shared" ref="EQ186:EQ234" si="888">+IF(EO186=0,,EN186/EO186*100)</f>
        <v>43.674296595680872</v>
      </c>
      <c r="ER186" s="21"/>
      <c r="ES186" s="21">
        <f t="shared" si="881"/>
        <v>205550.62457280001</v>
      </c>
      <c r="ET186" s="21"/>
      <c r="EU186" s="19">
        <f t="shared" si="792"/>
        <v>219938.65234079998</v>
      </c>
      <c r="EV186" s="21"/>
      <c r="EW186" s="39"/>
      <c r="EX186" s="39">
        <f t="shared" si="882"/>
        <v>217888.30658400001</v>
      </c>
      <c r="EY186" s="39">
        <f t="shared" si="867"/>
        <v>233139.94112399998</v>
      </c>
      <c r="EZ186" s="39"/>
      <c r="FA186" s="39"/>
      <c r="FB186" s="39"/>
      <c r="FC186" s="39"/>
      <c r="FD186" s="39"/>
      <c r="FE186" s="166"/>
      <c r="FF186" s="166"/>
      <c r="FG186" s="39"/>
      <c r="FH186" s="39"/>
      <c r="FI186" s="39"/>
      <c r="FJ186" s="19">
        <f t="shared" si="793"/>
        <v>84988.24635970169</v>
      </c>
      <c r="FK186" s="19">
        <f t="shared" si="794"/>
        <v>90004.074571549136</v>
      </c>
      <c r="FL186" s="19">
        <f t="shared" si="795"/>
        <v>174992.32093125081</v>
      </c>
      <c r="FM186" s="19">
        <f>76.024-FM187</f>
        <v>66.632999999999996</v>
      </c>
      <c r="FN186" s="19">
        <f>57.1297-FN187</f>
        <v>50.480699999999999</v>
      </c>
      <c r="FO186" s="22">
        <v>3013.12</v>
      </c>
      <c r="FP186" s="22">
        <v>3083.47</v>
      </c>
      <c r="FQ186" s="22"/>
      <c r="FR186" s="22">
        <v>1838.73</v>
      </c>
      <c r="FS186" s="22">
        <v>2022.73</v>
      </c>
      <c r="FT186" s="22"/>
      <c r="FU186" s="240" t="s">
        <v>624</v>
      </c>
      <c r="FV186" s="19"/>
      <c r="FW186" s="19"/>
      <c r="FX186" s="19"/>
      <c r="FY186" s="19"/>
      <c r="FZ186" s="19"/>
      <c r="GA186" s="19"/>
      <c r="GB186" s="19"/>
      <c r="GC186" s="20"/>
      <c r="GD186" s="20"/>
      <c r="GE186" s="21"/>
      <c r="GF186" s="21"/>
      <c r="GG186" s="21"/>
      <c r="GH186" s="21"/>
      <c r="GI186" s="21"/>
      <c r="GJ186" s="21"/>
      <c r="GK186" s="21"/>
      <c r="GL186" s="21"/>
      <c r="GM186" s="19"/>
      <c r="GN186" s="19"/>
      <c r="GO186" s="22">
        <v>3083.47</v>
      </c>
      <c r="GP186" s="22">
        <v>3217.34</v>
      </c>
      <c r="GQ186" s="22"/>
      <c r="GR186" s="22">
        <v>2022.73</v>
      </c>
      <c r="GS186" s="22">
        <v>2099.46</v>
      </c>
      <c r="GT186" s="22"/>
      <c r="GU186" s="240" t="s">
        <v>624</v>
      </c>
      <c r="GV186" s="19"/>
      <c r="GW186" s="19"/>
      <c r="GX186" s="19"/>
      <c r="GY186" s="19"/>
      <c r="GZ186" s="23"/>
      <c r="HA186" s="22">
        <v>3217.34</v>
      </c>
      <c r="HB186" s="22">
        <v>3305.42</v>
      </c>
      <c r="HC186" s="22"/>
      <c r="HD186" s="22">
        <v>2099.46</v>
      </c>
      <c r="HE186" s="22">
        <v>2183.44</v>
      </c>
      <c r="HF186" s="22"/>
      <c r="HG186" s="240" t="s">
        <v>624</v>
      </c>
    </row>
    <row r="187" spans="2:215" ht="15.75">
      <c r="B187" s="10"/>
      <c r="C187" s="161" t="s">
        <v>328</v>
      </c>
      <c r="D187" s="143"/>
      <c r="E187" s="73"/>
      <c r="F187" s="74"/>
      <c r="G187" s="74"/>
      <c r="H187" s="74"/>
      <c r="I187" s="73"/>
      <c r="J187" s="74"/>
      <c r="K187" s="74"/>
      <c r="L187" s="74"/>
      <c r="M187" s="191"/>
      <c r="N187" s="191"/>
      <c r="O187" s="74"/>
      <c r="P187" s="74"/>
      <c r="Q187" s="74"/>
      <c r="R187" s="191"/>
      <c r="S187" s="74"/>
      <c r="T187" s="74"/>
      <c r="U187" s="74"/>
      <c r="V187" s="52"/>
      <c r="W187" s="52"/>
      <c r="X187" s="52"/>
      <c r="Y187" s="52"/>
      <c r="Z187" s="22"/>
      <c r="AA187" s="52"/>
      <c r="AB187" s="22"/>
      <c r="AC187" s="52"/>
      <c r="AD187" s="52"/>
      <c r="AE187" s="22"/>
      <c r="AF187" s="22"/>
      <c r="AG187" s="22"/>
      <c r="AH187" s="52"/>
      <c r="AI187" s="52"/>
      <c r="AJ187" s="52"/>
      <c r="AK187" s="52"/>
      <c r="AL187" s="22"/>
      <c r="AM187" s="52"/>
      <c r="AN187" s="22"/>
      <c r="AO187" s="22"/>
      <c r="AP187" s="22"/>
      <c r="AQ187" s="22"/>
      <c r="AR187" s="22"/>
      <c r="AS187" s="22"/>
      <c r="AT187" s="22"/>
      <c r="AU187" s="22"/>
      <c r="AV187" s="77"/>
      <c r="AW187" s="77"/>
      <c r="AX187" s="78"/>
      <c r="AY187" s="22"/>
      <c r="AZ187" s="22"/>
      <c r="BA187" s="22"/>
      <c r="BB187" s="22"/>
      <c r="BC187" s="22"/>
      <c r="BD187" s="22"/>
      <c r="BE187" s="22"/>
      <c r="BF187" s="22"/>
      <c r="BG187" s="22"/>
      <c r="BH187" s="22"/>
      <c r="BI187" s="22"/>
      <c r="BJ187" s="40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19"/>
      <c r="CX187" s="19"/>
      <c r="CY187" s="19"/>
      <c r="CZ187" s="19"/>
      <c r="DA187" s="21"/>
      <c r="DB187" s="21"/>
      <c r="DC187" s="79"/>
      <c r="DD187" s="79"/>
      <c r="DE187" s="79"/>
      <c r="DF187" s="79"/>
      <c r="DG187" s="79"/>
      <c r="DH187" s="51"/>
      <c r="DI187" s="39"/>
      <c r="DJ187" s="80"/>
      <c r="DK187" s="39"/>
      <c r="DL187" s="39"/>
      <c r="DM187" s="48"/>
      <c r="DN187" s="39"/>
      <c r="DO187" s="39"/>
      <c r="DP187" s="39"/>
      <c r="DQ187" s="39"/>
      <c r="DR187" s="39"/>
      <c r="DS187" s="39"/>
      <c r="DT187" s="39"/>
      <c r="DU187" s="19"/>
      <c r="DV187" s="40"/>
      <c r="DW187" s="40"/>
      <c r="DX187" s="21"/>
      <c r="DY187" s="21"/>
      <c r="DZ187" s="19"/>
      <c r="EA187" s="19"/>
      <c r="EB187" s="48"/>
      <c r="EC187" s="48"/>
      <c r="ED187" s="48"/>
      <c r="EE187" s="22"/>
      <c r="EF187" s="22"/>
      <c r="EG187" s="22"/>
      <c r="EH187" s="22"/>
      <c r="EI187" s="22"/>
      <c r="EJ187" s="22"/>
      <c r="EK187" s="40"/>
      <c r="EL187" s="19"/>
      <c r="EM187" s="19"/>
      <c r="EN187" s="40"/>
      <c r="EO187" s="40"/>
      <c r="EP187" s="40"/>
      <c r="EQ187" s="21"/>
      <c r="ER187" s="21"/>
      <c r="ES187" s="21"/>
      <c r="ET187" s="21"/>
      <c r="EU187" s="19"/>
      <c r="EV187" s="21"/>
      <c r="EW187" s="39"/>
      <c r="EX187" s="39"/>
      <c r="EY187" s="39"/>
      <c r="EZ187" s="39"/>
      <c r="FA187" s="39"/>
      <c r="FB187" s="39"/>
      <c r="FC187" s="39"/>
      <c r="FD187" s="39"/>
      <c r="FE187" s="166"/>
      <c r="FF187" s="166"/>
      <c r="FG187" s="39"/>
      <c r="FH187" s="39"/>
      <c r="FI187" s="39"/>
      <c r="FJ187" s="19"/>
      <c r="FK187" s="19"/>
      <c r="FL187" s="19"/>
      <c r="FM187" s="19">
        <v>9.391</v>
      </c>
      <c r="FN187" s="19">
        <v>6.649</v>
      </c>
      <c r="FO187" s="22">
        <v>3013.12</v>
      </c>
      <c r="FP187" s="22">
        <v>3072.75</v>
      </c>
      <c r="FQ187" s="22"/>
      <c r="FR187" s="22">
        <v>1788.13</v>
      </c>
      <c r="FS187" s="22">
        <v>2002.71</v>
      </c>
      <c r="FT187" s="22"/>
      <c r="FU187" s="240"/>
      <c r="FV187" s="19"/>
      <c r="FW187" s="19"/>
      <c r="FX187" s="19"/>
      <c r="FY187" s="19"/>
      <c r="FZ187" s="19"/>
      <c r="GA187" s="19"/>
      <c r="GB187" s="19"/>
      <c r="GC187" s="20"/>
      <c r="GD187" s="20"/>
      <c r="GE187" s="21"/>
      <c r="GF187" s="21"/>
      <c r="GG187" s="21"/>
      <c r="GH187" s="21"/>
      <c r="GI187" s="21"/>
      <c r="GJ187" s="21"/>
      <c r="GK187" s="21"/>
      <c r="GL187" s="21"/>
      <c r="GM187" s="19"/>
      <c r="GN187" s="19"/>
      <c r="GO187" s="22">
        <v>3083.47</v>
      </c>
      <c r="GP187" s="22">
        <v>3217.34</v>
      </c>
      <c r="GQ187" s="22"/>
      <c r="GR187" s="22">
        <v>2002.71</v>
      </c>
      <c r="GS187" s="22">
        <v>2078.81</v>
      </c>
      <c r="GT187" s="22"/>
      <c r="GU187" s="240"/>
      <c r="GV187" s="19"/>
      <c r="GW187" s="19"/>
      <c r="GX187" s="19"/>
      <c r="GY187" s="19"/>
      <c r="GZ187" s="23"/>
      <c r="HA187" s="22">
        <v>3217.34</v>
      </c>
      <c r="HB187" s="22">
        <v>3305.42</v>
      </c>
      <c r="HC187" s="22"/>
      <c r="HD187" s="22">
        <v>2078.81</v>
      </c>
      <c r="HE187" s="22">
        <v>2161.9699999999998</v>
      </c>
      <c r="HF187" s="22"/>
      <c r="HG187" s="240"/>
    </row>
    <row r="188" spans="2:215" ht="15.75">
      <c r="B188" s="10"/>
      <c r="C188" s="184" t="s">
        <v>329</v>
      </c>
      <c r="D188" s="143"/>
      <c r="E188" s="73"/>
      <c r="F188" s="74"/>
      <c r="G188" s="74"/>
      <c r="H188" s="74"/>
      <c r="I188" s="73"/>
      <c r="J188" s="74"/>
      <c r="K188" s="74"/>
      <c r="L188" s="74"/>
      <c r="M188" s="191"/>
      <c r="N188" s="191"/>
      <c r="O188" s="74"/>
      <c r="P188" s="74"/>
      <c r="Q188" s="74"/>
      <c r="R188" s="191"/>
      <c r="S188" s="74"/>
      <c r="T188" s="74"/>
      <c r="U188" s="74"/>
      <c r="V188" s="52"/>
      <c r="W188" s="52"/>
      <c r="X188" s="52"/>
      <c r="Y188" s="52"/>
      <c r="Z188" s="22"/>
      <c r="AA188" s="52"/>
      <c r="AB188" s="22"/>
      <c r="AC188" s="52"/>
      <c r="AD188" s="52">
        <v>241.93</v>
      </c>
      <c r="AE188" s="22">
        <f>+IF(AC188=0,,AF188/AC188*100)</f>
        <v>0</v>
      </c>
      <c r="AF188" s="22">
        <v>241.93</v>
      </c>
      <c r="AG188" s="22">
        <f t="shared" ref="AG188:AG237" si="889">+IF(AD188=0,,AF188/AD188*100)</f>
        <v>100</v>
      </c>
      <c r="AH188" s="52"/>
      <c r="AI188" s="52"/>
      <c r="AJ188" s="52"/>
      <c r="AK188" s="52"/>
      <c r="AL188" s="22"/>
      <c r="AM188" s="52"/>
      <c r="AN188" s="22"/>
      <c r="AO188" s="22"/>
      <c r="AP188" s="22"/>
      <c r="AQ188" s="22"/>
      <c r="AR188" s="22">
        <v>81.430000000000007</v>
      </c>
      <c r="AS188" s="22">
        <f>+IF(AQ188=0,,AT188/AQ188*100)</f>
        <v>0</v>
      </c>
      <c r="AT188" s="22">
        <v>90.6</v>
      </c>
      <c r="AU188" s="22">
        <f t="shared" ref="AU188:AU237" si="890">+IF(AR188=0,,AT188/AR188*100)</f>
        <v>111.26120594375534</v>
      </c>
      <c r="AV188" s="77"/>
      <c r="AW188" s="77"/>
      <c r="AX188" s="78" t="s">
        <v>156</v>
      </c>
      <c r="AY188" s="22">
        <f t="shared" si="775"/>
        <v>0</v>
      </c>
      <c r="AZ188" s="22"/>
      <c r="BA188" s="22"/>
      <c r="BB188" s="22"/>
      <c r="BC188" s="22"/>
      <c r="BD188" s="22"/>
      <c r="BE188" s="22">
        <f t="shared" si="776"/>
        <v>0</v>
      </c>
      <c r="BF188" s="22">
        <v>90.6</v>
      </c>
      <c r="BG188" s="22">
        <v>94.4</v>
      </c>
      <c r="BH188" s="22">
        <f t="shared" si="777"/>
        <v>104.19426048565124</v>
      </c>
      <c r="BI188" s="22"/>
      <c r="BJ188" s="40" t="s">
        <v>157</v>
      </c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19"/>
      <c r="CX188" s="19"/>
      <c r="CY188" s="19"/>
      <c r="CZ188" s="19"/>
      <c r="DA188" s="21"/>
      <c r="DB188" s="21"/>
      <c r="DC188" s="79"/>
      <c r="DD188" s="79"/>
      <c r="DE188" s="79"/>
      <c r="DF188" s="79"/>
      <c r="DG188" s="79"/>
      <c r="DH188" s="51"/>
      <c r="DI188" s="39"/>
      <c r="DJ188" s="80"/>
      <c r="DK188" s="39"/>
      <c r="DL188" s="39"/>
      <c r="DM188" s="48"/>
      <c r="DN188" s="39"/>
      <c r="DO188" s="39"/>
      <c r="DP188" s="39"/>
      <c r="DQ188" s="39"/>
      <c r="DR188" s="39"/>
      <c r="DS188" s="39"/>
      <c r="DT188" s="39"/>
      <c r="DU188" s="19">
        <f t="shared" si="778"/>
        <v>0</v>
      </c>
      <c r="DV188" s="40">
        <f>+'[1]тарифы (НВВ) население на 4,2%'!CL244*1.042</f>
        <v>6663.136454311526</v>
      </c>
      <c r="DW188" s="40">
        <f>+'[1]тарифы (НВВ) население на 4,2%'!CM244*1.042</f>
        <v>18997.466859051598</v>
      </c>
      <c r="DX188" s="46"/>
      <c r="DY188" s="21">
        <f t="shared" si="781"/>
        <v>35.073815386796085</v>
      </c>
      <c r="DZ188" s="19">
        <f t="shared" si="782"/>
        <v>0</v>
      </c>
      <c r="EA188" s="19">
        <f t="shared" si="783"/>
        <v>0</v>
      </c>
      <c r="EB188" s="19"/>
      <c r="EC188" s="48">
        <f t="shared" si="879"/>
        <v>0</v>
      </c>
      <c r="ED188" s="48">
        <f t="shared" si="880"/>
        <v>0</v>
      </c>
      <c r="EE188" s="22">
        <v>252.09</v>
      </c>
      <c r="EF188" s="22">
        <v>264.39999999999998</v>
      </c>
      <c r="EG188" s="22">
        <f t="shared" si="786"/>
        <v>104.88317664326232</v>
      </c>
      <c r="EH188" s="22">
        <v>94.4</v>
      </c>
      <c r="EI188" s="22">
        <v>102.37</v>
      </c>
      <c r="EJ188" s="22">
        <f t="shared" si="787"/>
        <v>108.44279661016949</v>
      </c>
      <c r="EK188" s="40" t="s">
        <v>330</v>
      </c>
      <c r="EL188" s="19">
        <v>114.41023</v>
      </c>
      <c r="EM188" s="19">
        <v>99.726849999999999</v>
      </c>
      <c r="EN188" s="40">
        <f t="shared" ref="EN188:EN235" si="891">+(EI188*EM188)/1.18</f>
        <v>8651.7268088983055</v>
      </c>
      <c r="EO188" s="40">
        <f t="shared" ref="EO188:EO235" si="892">+EF188*EM188</f>
        <v>26367.779139999999</v>
      </c>
      <c r="EP188" s="40"/>
      <c r="EQ188" s="21">
        <f t="shared" si="888"/>
        <v>32.811738762532379</v>
      </c>
      <c r="ER188" s="21"/>
      <c r="ES188" s="21">
        <f t="shared" si="881"/>
        <v>28841.6748807</v>
      </c>
      <c r="ET188" s="21"/>
      <c r="EU188" s="19">
        <f t="shared" ref="EU188:EU236" si="893">+EF188*EL188</f>
        <v>30250.064811999997</v>
      </c>
      <c r="EV188" s="21"/>
      <c r="EW188" s="39"/>
      <c r="EX188" s="39">
        <f t="shared" si="882"/>
        <v>0</v>
      </c>
      <c r="EY188" s="39">
        <f t="shared" si="867"/>
        <v>0</v>
      </c>
      <c r="EZ188" s="39"/>
      <c r="FA188" s="39"/>
      <c r="FB188" s="39"/>
      <c r="FC188" s="39"/>
      <c r="FD188" s="39"/>
      <c r="FE188" s="166"/>
      <c r="FF188" s="166"/>
      <c r="FG188" s="39"/>
      <c r="FH188" s="39"/>
      <c r="FI188" s="39"/>
      <c r="FJ188" s="19">
        <f t="shared" ref="FJ188:FJ235" si="894">+(EE188-EH188/1.18)*EM188</f>
        <v>17161.993616499996</v>
      </c>
      <c r="FK188" s="19">
        <f t="shared" ref="FK188:FK235" si="895">+(EF188-EI188/1.18)*EM188</f>
        <v>17716.052331101695</v>
      </c>
      <c r="FL188" s="19">
        <f t="shared" ref="FL188:FL235" si="896">+FJ188+FK188</f>
        <v>34878.045947601691</v>
      </c>
      <c r="FM188" s="19">
        <v>87.557000000000002</v>
      </c>
      <c r="FN188" s="19">
        <v>77.42</v>
      </c>
      <c r="FO188" s="22">
        <v>275.25</v>
      </c>
      <c r="FP188" s="22">
        <v>281.57</v>
      </c>
      <c r="FQ188" s="22"/>
      <c r="FR188" s="22">
        <v>129.81</v>
      </c>
      <c r="FS188" s="22">
        <v>142.79</v>
      </c>
      <c r="FT188" s="22"/>
      <c r="FU188" s="240" t="s">
        <v>631</v>
      </c>
      <c r="FV188" s="19"/>
      <c r="FW188" s="19"/>
      <c r="FX188" s="19"/>
      <c r="FY188" s="19"/>
      <c r="FZ188" s="19"/>
      <c r="GA188" s="19"/>
      <c r="GB188" s="19"/>
      <c r="GC188" s="20"/>
      <c r="GD188" s="20"/>
      <c r="GE188" s="21"/>
      <c r="GF188" s="21"/>
      <c r="GG188" s="21"/>
      <c r="GH188" s="21"/>
      <c r="GI188" s="21"/>
      <c r="GJ188" s="21"/>
      <c r="GK188" s="21"/>
      <c r="GL188" s="21"/>
      <c r="GM188" s="19"/>
      <c r="GN188" s="19"/>
      <c r="GO188" s="22">
        <v>281.57</v>
      </c>
      <c r="GP188" s="22">
        <v>292.27</v>
      </c>
      <c r="GQ188" s="22"/>
      <c r="GR188" s="22">
        <v>142.79</v>
      </c>
      <c r="GS188" s="22">
        <v>148.22</v>
      </c>
      <c r="GT188" s="22"/>
      <c r="GU188" s="240" t="s">
        <v>631</v>
      </c>
      <c r="GV188" s="19"/>
      <c r="GW188" s="19"/>
      <c r="GX188" s="19"/>
      <c r="GY188" s="19"/>
      <c r="GZ188" s="23"/>
      <c r="HA188" s="22">
        <v>292.27</v>
      </c>
      <c r="HB188" s="22">
        <v>303.95999999999998</v>
      </c>
      <c r="HC188" s="22"/>
      <c r="HD188" s="22">
        <v>148.22</v>
      </c>
      <c r="HE188" s="22">
        <v>154.13999999999999</v>
      </c>
      <c r="HF188" s="22"/>
      <c r="HG188" s="240" t="s">
        <v>631</v>
      </c>
    </row>
    <row r="189" spans="2:215" ht="15.75">
      <c r="B189" s="10"/>
      <c r="C189" s="184" t="s">
        <v>331</v>
      </c>
      <c r="D189" s="143"/>
      <c r="E189" s="73"/>
      <c r="F189" s="74"/>
      <c r="G189" s="74"/>
      <c r="H189" s="74"/>
      <c r="I189" s="73"/>
      <c r="J189" s="74"/>
      <c r="K189" s="74"/>
      <c r="L189" s="74"/>
      <c r="M189" s="191"/>
      <c r="N189" s="191"/>
      <c r="O189" s="74"/>
      <c r="P189" s="74"/>
      <c r="Q189" s="74"/>
      <c r="R189" s="191"/>
      <c r="S189" s="74"/>
      <c r="T189" s="74"/>
      <c r="U189" s="74"/>
      <c r="V189" s="52"/>
      <c r="W189" s="52"/>
      <c r="X189" s="52"/>
      <c r="Y189" s="52"/>
      <c r="Z189" s="22"/>
      <c r="AA189" s="52"/>
      <c r="AB189" s="22"/>
      <c r="AC189" s="52"/>
      <c r="AD189" s="52"/>
      <c r="AE189" s="22"/>
      <c r="AF189" s="22"/>
      <c r="AG189" s="22"/>
      <c r="AH189" s="52"/>
      <c r="AI189" s="52"/>
      <c r="AJ189" s="52"/>
      <c r="AK189" s="52"/>
      <c r="AL189" s="22"/>
      <c r="AM189" s="52"/>
      <c r="AN189" s="22"/>
      <c r="AO189" s="22"/>
      <c r="AP189" s="22"/>
      <c r="AQ189" s="22"/>
      <c r="AR189" s="22"/>
      <c r="AS189" s="22"/>
      <c r="AT189" s="22"/>
      <c r="AU189" s="22"/>
      <c r="AV189" s="77"/>
      <c r="AW189" s="77"/>
      <c r="AX189" s="78"/>
      <c r="AY189" s="22"/>
      <c r="AZ189" s="22"/>
      <c r="BA189" s="22"/>
      <c r="BB189" s="22"/>
      <c r="BC189" s="22"/>
      <c r="BD189" s="22"/>
      <c r="BE189" s="22"/>
      <c r="BF189" s="22"/>
      <c r="BG189" s="22"/>
      <c r="BH189" s="22"/>
      <c r="BI189" s="22"/>
      <c r="BJ189" s="40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19"/>
      <c r="CX189" s="19"/>
      <c r="CY189" s="19"/>
      <c r="CZ189" s="19"/>
      <c r="DA189" s="21"/>
      <c r="DB189" s="21"/>
      <c r="DC189" s="79"/>
      <c r="DD189" s="79"/>
      <c r="DE189" s="79"/>
      <c r="DF189" s="79"/>
      <c r="DG189" s="79"/>
      <c r="DH189" s="51"/>
      <c r="DI189" s="39"/>
      <c r="DJ189" s="80"/>
      <c r="DK189" s="39"/>
      <c r="DL189" s="39"/>
      <c r="DM189" s="48"/>
      <c r="DN189" s="39"/>
      <c r="DO189" s="39"/>
      <c r="DP189" s="39"/>
      <c r="DQ189" s="39"/>
      <c r="DR189" s="39"/>
      <c r="DS189" s="39"/>
      <c r="DT189" s="39"/>
      <c r="DU189" s="19"/>
      <c r="DV189" s="40"/>
      <c r="DW189" s="40"/>
      <c r="DX189" s="46"/>
      <c r="DY189" s="21"/>
      <c r="DZ189" s="19"/>
      <c r="EA189" s="19"/>
      <c r="EB189" s="19"/>
      <c r="EC189" s="48"/>
      <c r="ED189" s="48"/>
      <c r="EE189" s="22"/>
      <c r="EF189" s="22"/>
      <c r="EG189" s="22"/>
      <c r="EH189" s="22"/>
      <c r="EI189" s="22"/>
      <c r="EJ189" s="22"/>
      <c r="EK189" s="40"/>
      <c r="EL189" s="19"/>
      <c r="EM189" s="19"/>
      <c r="EN189" s="40"/>
      <c r="EO189" s="40"/>
      <c r="EP189" s="40"/>
      <c r="EQ189" s="21"/>
      <c r="ER189" s="21"/>
      <c r="ES189" s="21"/>
      <c r="ET189" s="21"/>
      <c r="EU189" s="19"/>
      <c r="EV189" s="21"/>
      <c r="EW189" s="39"/>
      <c r="EX189" s="39"/>
      <c r="EY189" s="39"/>
      <c r="EZ189" s="39"/>
      <c r="FA189" s="39"/>
      <c r="FB189" s="39"/>
      <c r="FC189" s="39"/>
      <c r="FD189" s="39"/>
      <c r="FE189" s="166"/>
      <c r="FF189" s="166"/>
      <c r="FG189" s="39"/>
      <c r="FH189" s="39"/>
      <c r="FI189" s="39"/>
      <c r="FJ189" s="19"/>
      <c r="FK189" s="19"/>
      <c r="FL189" s="19"/>
      <c r="FM189" s="19">
        <v>20.283999999999999</v>
      </c>
      <c r="FN189" s="19">
        <v>18.789000000000001</v>
      </c>
      <c r="FO189" s="22">
        <v>275.25</v>
      </c>
      <c r="FP189" s="22">
        <v>281.57</v>
      </c>
      <c r="FQ189" s="22"/>
      <c r="FR189" s="22">
        <v>126.26</v>
      </c>
      <c r="FS189" s="22">
        <v>138.88999999999999</v>
      </c>
      <c r="FT189" s="22"/>
      <c r="FU189" s="240"/>
      <c r="FV189" s="19"/>
      <c r="FW189" s="19"/>
      <c r="FX189" s="19"/>
      <c r="FY189" s="19"/>
      <c r="FZ189" s="19"/>
      <c r="GA189" s="19"/>
      <c r="GB189" s="19"/>
      <c r="GC189" s="20"/>
      <c r="GD189" s="20"/>
      <c r="GE189" s="21"/>
      <c r="GF189" s="21"/>
      <c r="GG189" s="21"/>
      <c r="GH189" s="21"/>
      <c r="GI189" s="21"/>
      <c r="GJ189" s="21"/>
      <c r="GK189" s="21"/>
      <c r="GL189" s="21"/>
      <c r="GM189" s="19"/>
      <c r="GN189" s="19"/>
      <c r="GO189" s="22">
        <v>281.57</v>
      </c>
      <c r="GP189" s="22">
        <v>292.27</v>
      </c>
      <c r="GQ189" s="22"/>
      <c r="GR189" s="22">
        <v>138.88999999999999</v>
      </c>
      <c r="GS189" s="22">
        <v>144.16999999999999</v>
      </c>
      <c r="GT189" s="22"/>
      <c r="GU189" s="240"/>
      <c r="GV189" s="19"/>
      <c r="GW189" s="19"/>
      <c r="GX189" s="19"/>
      <c r="GY189" s="19"/>
      <c r="GZ189" s="23"/>
      <c r="HA189" s="22">
        <v>292.27</v>
      </c>
      <c r="HB189" s="22">
        <v>303.95999999999998</v>
      </c>
      <c r="HC189" s="22"/>
      <c r="HD189" s="22">
        <v>144.16999999999999</v>
      </c>
      <c r="HE189" s="22">
        <v>149.93</v>
      </c>
      <c r="HF189" s="22"/>
      <c r="HG189" s="240"/>
    </row>
    <row r="190" spans="2:215" ht="25.5">
      <c r="B190" s="10" t="s">
        <v>332</v>
      </c>
      <c r="C190" s="174" t="s">
        <v>333</v>
      </c>
      <c r="D190" s="143"/>
      <c r="E190" s="73"/>
      <c r="F190" s="74"/>
      <c r="G190" s="74"/>
      <c r="H190" s="74"/>
      <c r="I190" s="73"/>
      <c r="J190" s="74"/>
      <c r="K190" s="74"/>
      <c r="L190" s="74"/>
      <c r="M190" s="191"/>
      <c r="N190" s="191"/>
      <c r="O190" s="74"/>
      <c r="P190" s="74"/>
      <c r="Q190" s="74"/>
      <c r="R190" s="191"/>
      <c r="S190" s="74"/>
      <c r="T190" s="74"/>
      <c r="U190" s="74"/>
      <c r="V190" s="52"/>
      <c r="W190" s="52"/>
      <c r="X190" s="52"/>
      <c r="Y190" s="52"/>
      <c r="Z190" s="22"/>
      <c r="AA190" s="52"/>
      <c r="AB190" s="22"/>
      <c r="AC190" s="52"/>
      <c r="AD190" s="22"/>
      <c r="AE190" s="22"/>
      <c r="AF190" s="22"/>
      <c r="AG190" s="22"/>
      <c r="AH190" s="52"/>
      <c r="AI190" s="52"/>
      <c r="AJ190" s="52"/>
      <c r="AK190" s="52"/>
      <c r="AL190" s="22"/>
      <c r="AM190" s="52"/>
      <c r="AN190" s="22"/>
      <c r="AO190" s="22"/>
      <c r="AP190" s="22"/>
      <c r="AQ190" s="22"/>
      <c r="AR190" s="22"/>
      <c r="AS190" s="22"/>
      <c r="AT190" s="22"/>
      <c r="AU190" s="22"/>
      <c r="AV190" s="77"/>
      <c r="AW190" s="77"/>
      <c r="AX190" s="78"/>
      <c r="AY190" s="22"/>
      <c r="AZ190" s="22"/>
      <c r="BA190" s="22"/>
      <c r="BB190" s="22"/>
      <c r="BC190" s="22"/>
      <c r="BD190" s="22"/>
      <c r="BE190" s="22"/>
      <c r="BF190" s="22"/>
      <c r="BG190" s="22"/>
      <c r="BH190" s="22"/>
      <c r="BI190" s="22"/>
      <c r="BJ190" s="40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19"/>
      <c r="CX190" s="19"/>
      <c r="CY190" s="19"/>
      <c r="CZ190" s="19"/>
      <c r="DA190" s="21"/>
      <c r="DB190" s="21"/>
      <c r="DC190" s="79"/>
      <c r="DD190" s="79"/>
      <c r="DE190" s="79"/>
      <c r="DF190" s="79"/>
      <c r="DG190" s="79"/>
      <c r="DH190" s="51"/>
      <c r="DI190" s="39"/>
      <c r="DJ190" s="80"/>
      <c r="DK190" s="39"/>
      <c r="DL190" s="39"/>
      <c r="DM190" s="48"/>
      <c r="DN190" s="39"/>
      <c r="DO190" s="39"/>
      <c r="DP190" s="39"/>
      <c r="DQ190" s="39"/>
      <c r="DR190" s="39"/>
      <c r="DS190" s="39"/>
      <c r="DT190" s="39"/>
      <c r="DU190" s="19"/>
      <c r="DV190" s="40"/>
      <c r="DW190" s="40"/>
      <c r="DX190" s="46"/>
      <c r="DY190" s="21"/>
      <c r="DZ190" s="19"/>
      <c r="EA190" s="19"/>
      <c r="EB190" s="19"/>
      <c r="EC190" s="48"/>
      <c r="ED190" s="48"/>
      <c r="EE190" s="22"/>
      <c r="EF190" s="22"/>
      <c r="EG190" s="22"/>
      <c r="EH190" s="22"/>
      <c r="EI190" s="22"/>
      <c r="EJ190" s="22"/>
      <c r="EK190" s="40"/>
      <c r="EL190" s="19"/>
      <c r="EM190" s="19"/>
      <c r="EN190" s="40"/>
      <c r="EO190" s="40"/>
      <c r="EP190" s="40"/>
      <c r="EQ190" s="21"/>
      <c r="ER190" s="21"/>
      <c r="ES190" s="21"/>
      <c r="ET190" s="21"/>
      <c r="EU190" s="19"/>
      <c r="EV190" s="21"/>
      <c r="EW190" s="39"/>
      <c r="EX190" s="39"/>
      <c r="EY190" s="39"/>
      <c r="EZ190" s="39"/>
      <c r="FA190" s="39"/>
      <c r="FB190" s="39"/>
      <c r="FC190" s="39"/>
      <c r="FD190" s="39"/>
      <c r="FE190" s="166"/>
      <c r="FF190" s="166"/>
      <c r="FG190" s="39"/>
      <c r="FH190" s="39"/>
      <c r="FI190" s="39"/>
      <c r="FJ190" s="19"/>
      <c r="FK190" s="19"/>
      <c r="FL190" s="19"/>
      <c r="FM190" s="19"/>
      <c r="FN190" s="19"/>
      <c r="FO190" s="22"/>
      <c r="FP190" s="22"/>
      <c r="FQ190" s="22"/>
      <c r="FR190" s="22"/>
      <c r="FS190" s="22"/>
      <c r="FT190" s="22"/>
      <c r="FU190" s="40"/>
      <c r="FV190" s="19"/>
      <c r="FW190" s="19"/>
      <c r="FX190" s="19"/>
      <c r="FY190" s="19"/>
      <c r="FZ190" s="19"/>
      <c r="GA190" s="19"/>
      <c r="GB190" s="19"/>
      <c r="GC190" s="20"/>
      <c r="GD190" s="20"/>
      <c r="GE190" s="21"/>
      <c r="GF190" s="21"/>
      <c r="GG190" s="21"/>
      <c r="GH190" s="21"/>
      <c r="GI190" s="21"/>
      <c r="GJ190" s="21"/>
      <c r="GK190" s="21"/>
      <c r="GL190" s="21"/>
      <c r="GM190" s="19"/>
      <c r="GN190" s="19"/>
      <c r="GO190" s="22"/>
      <c r="GP190" s="22"/>
      <c r="GQ190" s="22"/>
      <c r="GR190" s="22"/>
      <c r="GS190" s="22"/>
      <c r="GT190" s="22"/>
      <c r="GU190" s="43"/>
      <c r="GV190" s="19"/>
      <c r="GW190" s="19"/>
      <c r="GX190" s="19"/>
      <c r="GY190" s="19"/>
      <c r="GZ190" s="23"/>
      <c r="HA190" s="22"/>
      <c r="HB190" s="22"/>
      <c r="HC190" s="22"/>
      <c r="HD190" s="22"/>
      <c r="HE190" s="22"/>
      <c r="HF190" s="22"/>
      <c r="HG190" s="233"/>
    </row>
    <row r="191" spans="2:215" ht="15.75">
      <c r="B191" s="10"/>
      <c r="C191" s="184" t="s">
        <v>334</v>
      </c>
      <c r="D191" s="143"/>
      <c r="E191" s="73"/>
      <c r="F191" s="74"/>
      <c r="G191" s="74"/>
      <c r="H191" s="74"/>
      <c r="I191" s="73"/>
      <c r="J191" s="74"/>
      <c r="K191" s="74"/>
      <c r="L191" s="74"/>
      <c r="M191" s="191"/>
      <c r="N191" s="191"/>
      <c r="O191" s="74"/>
      <c r="P191" s="74"/>
      <c r="Q191" s="74"/>
      <c r="R191" s="191"/>
      <c r="S191" s="74"/>
      <c r="T191" s="74"/>
      <c r="U191" s="74"/>
      <c r="V191" s="52"/>
      <c r="W191" s="52"/>
      <c r="X191" s="52"/>
      <c r="Y191" s="52"/>
      <c r="Z191" s="22"/>
      <c r="AA191" s="52"/>
      <c r="AB191" s="22"/>
      <c r="AC191" s="52"/>
      <c r="AD191" s="22"/>
      <c r="AE191" s="22"/>
      <c r="AF191" s="22"/>
      <c r="AG191" s="22"/>
      <c r="AH191" s="52"/>
      <c r="AI191" s="52"/>
      <c r="AJ191" s="52"/>
      <c r="AK191" s="52"/>
      <c r="AL191" s="22"/>
      <c r="AM191" s="52"/>
      <c r="AN191" s="22"/>
      <c r="AO191" s="22"/>
      <c r="AP191" s="22"/>
      <c r="AQ191" s="22"/>
      <c r="AR191" s="22"/>
      <c r="AS191" s="22"/>
      <c r="AT191" s="22"/>
      <c r="AU191" s="22"/>
      <c r="AV191" s="77"/>
      <c r="AW191" s="77"/>
      <c r="AX191" s="78"/>
      <c r="AY191" s="22"/>
      <c r="AZ191" s="22"/>
      <c r="BA191" s="22"/>
      <c r="BB191" s="22"/>
      <c r="BC191" s="22"/>
      <c r="BD191" s="22"/>
      <c r="BE191" s="22"/>
      <c r="BF191" s="22"/>
      <c r="BG191" s="22"/>
      <c r="BH191" s="22"/>
      <c r="BI191" s="22"/>
      <c r="BJ191" s="83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19"/>
      <c r="CX191" s="19"/>
      <c r="CY191" s="19"/>
      <c r="CZ191" s="19"/>
      <c r="DA191" s="21"/>
      <c r="DB191" s="21"/>
      <c r="DC191" s="79"/>
      <c r="DD191" s="79"/>
      <c r="DE191" s="79"/>
      <c r="DF191" s="79"/>
      <c r="DG191" s="79"/>
      <c r="DH191" s="51"/>
      <c r="DI191" s="39"/>
      <c r="DJ191" s="80"/>
      <c r="DK191" s="39"/>
      <c r="DL191" s="39"/>
      <c r="DM191" s="48"/>
      <c r="DN191" s="39"/>
      <c r="DO191" s="39"/>
      <c r="DP191" s="39"/>
      <c r="DQ191" s="39"/>
      <c r="DR191" s="39"/>
      <c r="DS191" s="39"/>
      <c r="DT191" s="39"/>
      <c r="DU191" s="19"/>
      <c r="DV191" s="40"/>
      <c r="DW191" s="40"/>
      <c r="DX191" s="21"/>
      <c r="DY191" s="21"/>
      <c r="DZ191" s="19"/>
      <c r="EA191" s="19"/>
      <c r="EB191" s="19"/>
      <c r="EC191" s="48"/>
      <c r="ED191" s="48"/>
      <c r="EE191" s="22"/>
      <c r="EF191" s="22"/>
      <c r="EG191" s="22"/>
      <c r="EH191" s="22"/>
      <c r="EI191" s="22"/>
      <c r="EJ191" s="22"/>
      <c r="EK191" s="83"/>
      <c r="EL191" s="19"/>
      <c r="EM191" s="19"/>
      <c r="EN191" s="40"/>
      <c r="EO191" s="40"/>
      <c r="EP191" s="40"/>
      <c r="EQ191" s="21"/>
      <c r="ER191" s="21"/>
      <c r="ES191" s="21"/>
      <c r="ET191" s="21"/>
      <c r="EU191" s="19"/>
      <c r="EV191" s="21"/>
      <c r="EW191" s="39"/>
      <c r="EX191" s="39"/>
      <c r="EY191" s="39"/>
      <c r="EZ191" s="39"/>
      <c r="FA191" s="39"/>
      <c r="FB191" s="39"/>
      <c r="FC191" s="39"/>
      <c r="FD191" s="39"/>
      <c r="FE191" s="166"/>
      <c r="FF191" s="166"/>
      <c r="FG191" s="39"/>
      <c r="FH191" s="39"/>
      <c r="FI191" s="39"/>
      <c r="FJ191" s="19"/>
      <c r="FK191" s="19"/>
      <c r="FL191" s="19"/>
      <c r="FM191" s="19">
        <v>614.15300000000002</v>
      </c>
      <c r="FN191" s="19">
        <v>301.58</v>
      </c>
      <c r="FO191" s="22">
        <v>82.67</v>
      </c>
      <c r="FP191" s="22">
        <v>84.49</v>
      </c>
      <c r="FQ191" s="22"/>
      <c r="FR191" s="22">
        <v>76.25</v>
      </c>
      <c r="FS191" s="22">
        <v>78.31</v>
      </c>
      <c r="FT191" s="22"/>
      <c r="FU191" s="241" t="s">
        <v>675</v>
      </c>
      <c r="FV191" s="19"/>
      <c r="FW191" s="19"/>
      <c r="FX191" s="19"/>
      <c r="FY191" s="19"/>
      <c r="FZ191" s="19"/>
      <c r="GA191" s="19"/>
      <c r="GB191" s="19"/>
      <c r="GC191" s="20"/>
      <c r="GD191" s="20"/>
      <c r="GE191" s="21"/>
      <c r="GF191" s="21"/>
      <c r="GG191" s="21"/>
      <c r="GH191" s="21"/>
      <c r="GI191" s="21"/>
      <c r="GJ191" s="21"/>
      <c r="GK191" s="21"/>
      <c r="GL191" s="21"/>
      <c r="GM191" s="19"/>
      <c r="GN191" s="19"/>
      <c r="GO191" s="22" t="s">
        <v>633</v>
      </c>
      <c r="GP191" s="22" t="s">
        <v>633</v>
      </c>
      <c r="GQ191" s="22"/>
      <c r="GR191" s="22" t="s">
        <v>633</v>
      </c>
      <c r="GS191" s="22" t="s">
        <v>633</v>
      </c>
      <c r="GT191" s="22"/>
      <c r="GU191" s="241" t="s">
        <v>633</v>
      </c>
      <c r="GV191" s="19"/>
      <c r="GW191" s="19"/>
      <c r="GX191" s="19"/>
      <c r="GY191" s="19"/>
      <c r="GZ191" s="23"/>
      <c r="HA191" s="22" t="s">
        <v>633</v>
      </c>
      <c r="HB191" s="22" t="s">
        <v>633</v>
      </c>
      <c r="HC191" s="22"/>
      <c r="HD191" s="22" t="s">
        <v>633</v>
      </c>
      <c r="HE191" s="22" t="s">
        <v>633</v>
      </c>
      <c r="HF191" s="22"/>
      <c r="HG191" s="241" t="s">
        <v>633</v>
      </c>
    </row>
    <row r="192" spans="2:215" ht="31.5">
      <c r="B192" s="10"/>
      <c r="C192" s="184" t="s">
        <v>335</v>
      </c>
      <c r="D192" s="143"/>
      <c r="E192" s="73"/>
      <c r="F192" s="74"/>
      <c r="G192" s="74"/>
      <c r="H192" s="74"/>
      <c r="I192" s="73"/>
      <c r="J192" s="74"/>
      <c r="K192" s="74"/>
      <c r="L192" s="74"/>
      <c r="M192" s="191"/>
      <c r="N192" s="191"/>
      <c r="O192" s="74"/>
      <c r="P192" s="74"/>
      <c r="Q192" s="74"/>
      <c r="R192" s="191"/>
      <c r="S192" s="74"/>
      <c r="T192" s="74"/>
      <c r="U192" s="74"/>
      <c r="V192" s="52"/>
      <c r="W192" s="52"/>
      <c r="X192" s="52"/>
      <c r="Y192" s="52"/>
      <c r="Z192" s="22"/>
      <c r="AA192" s="52"/>
      <c r="AB192" s="22"/>
      <c r="AC192" s="52"/>
      <c r="AD192" s="22"/>
      <c r="AE192" s="22"/>
      <c r="AF192" s="22"/>
      <c r="AG192" s="22"/>
      <c r="AH192" s="52"/>
      <c r="AI192" s="52"/>
      <c r="AJ192" s="52"/>
      <c r="AK192" s="52"/>
      <c r="AL192" s="22"/>
      <c r="AM192" s="52"/>
      <c r="AN192" s="22"/>
      <c r="AO192" s="22"/>
      <c r="AP192" s="22"/>
      <c r="AQ192" s="22"/>
      <c r="AR192" s="22"/>
      <c r="AS192" s="22"/>
      <c r="AT192" s="22"/>
      <c r="AU192" s="22"/>
      <c r="AV192" s="77"/>
      <c r="AW192" s="77"/>
      <c r="AX192" s="78"/>
      <c r="AY192" s="22"/>
      <c r="AZ192" s="22"/>
      <c r="BA192" s="22"/>
      <c r="BB192" s="22"/>
      <c r="BC192" s="22"/>
      <c r="BD192" s="22"/>
      <c r="BE192" s="22"/>
      <c r="BF192" s="22"/>
      <c r="BG192" s="22"/>
      <c r="BH192" s="22"/>
      <c r="BI192" s="22"/>
      <c r="BJ192" s="83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19"/>
      <c r="CX192" s="19"/>
      <c r="CY192" s="19"/>
      <c r="CZ192" s="19"/>
      <c r="DA192" s="21"/>
      <c r="DB192" s="21"/>
      <c r="DC192" s="79"/>
      <c r="DD192" s="79"/>
      <c r="DE192" s="79"/>
      <c r="DF192" s="79"/>
      <c r="DG192" s="79"/>
      <c r="DH192" s="51"/>
      <c r="DI192" s="39"/>
      <c r="DJ192" s="80"/>
      <c r="DK192" s="39"/>
      <c r="DL192" s="39"/>
      <c r="DM192" s="48"/>
      <c r="DN192" s="39"/>
      <c r="DO192" s="39"/>
      <c r="DP192" s="39"/>
      <c r="DQ192" s="39"/>
      <c r="DR192" s="39"/>
      <c r="DS192" s="39"/>
      <c r="DT192" s="39"/>
      <c r="DU192" s="19"/>
      <c r="DV192" s="40"/>
      <c r="DW192" s="40"/>
      <c r="DX192" s="21"/>
      <c r="DY192" s="21"/>
      <c r="DZ192" s="19"/>
      <c r="EA192" s="19"/>
      <c r="EB192" s="19"/>
      <c r="EC192" s="48"/>
      <c r="ED192" s="48"/>
      <c r="EE192" s="22"/>
      <c r="EF192" s="22"/>
      <c r="EG192" s="22"/>
      <c r="EH192" s="22"/>
      <c r="EI192" s="22"/>
      <c r="EJ192" s="22"/>
      <c r="EK192" s="83"/>
      <c r="EL192" s="19"/>
      <c r="EM192" s="19"/>
      <c r="EN192" s="40"/>
      <c r="EO192" s="40"/>
      <c r="EP192" s="40"/>
      <c r="EQ192" s="21"/>
      <c r="ER192" s="21"/>
      <c r="ES192" s="21"/>
      <c r="ET192" s="21"/>
      <c r="EU192" s="19"/>
      <c r="EV192" s="21"/>
      <c r="EW192" s="39"/>
      <c r="EX192" s="39"/>
      <c r="EY192" s="39"/>
      <c r="EZ192" s="39"/>
      <c r="FA192" s="39"/>
      <c r="FB192" s="39"/>
      <c r="FC192" s="39"/>
      <c r="FD192" s="39"/>
      <c r="FE192" s="166"/>
      <c r="FF192" s="166"/>
      <c r="FG192" s="39"/>
      <c r="FH192" s="39"/>
      <c r="FI192" s="39"/>
      <c r="FJ192" s="19"/>
      <c r="FK192" s="19"/>
      <c r="FL192" s="19"/>
      <c r="FM192" s="19">
        <v>242.68799999999999</v>
      </c>
      <c r="FN192" s="19">
        <v>172.239</v>
      </c>
      <c r="FO192" s="22">
        <v>98.9</v>
      </c>
      <c r="FP192" s="22">
        <v>98.9</v>
      </c>
      <c r="FQ192" s="22"/>
      <c r="FR192" s="22">
        <v>61.62</v>
      </c>
      <c r="FS192" s="22">
        <v>63.28</v>
      </c>
      <c r="FT192" s="22"/>
      <c r="FU192" s="241"/>
      <c r="FV192" s="19"/>
      <c r="FW192" s="19"/>
      <c r="FX192" s="19"/>
      <c r="FY192" s="19"/>
      <c r="FZ192" s="19"/>
      <c r="GA192" s="19"/>
      <c r="GB192" s="19"/>
      <c r="GC192" s="20"/>
      <c r="GD192" s="20"/>
      <c r="GE192" s="21"/>
      <c r="GF192" s="21"/>
      <c r="GG192" s="21"/>
      <c r="GH192" s="21"/>
      <c r="GI192" s="21"/>
      <c r="GJ192" s="21"/>
      <c r="GK192" s="21"/>
      <c r="GL192" s="21"/>
      <c r="GM192" s="19"/>
      <c r="GN192" s="19"/>
      <c r="GO192" s="22" t="s">
        <v>633</v>
      </c>
      <c r="GP192" s="22" t="s">
        <v>633</v>
      </c>
      <c r="GQ192" s="22"/>
      <c r="GR192" s="22" t="s">
        <v>633</v>
      </c>
      <c r="GS192" s="22" t="s">
        <v>633</v>
      </c>
      <c r="GT192" s="22"/>
      <c r="GU192" s="241"/>
      <c r="GV192" s="19"/>
      <c r="GW192" s="19"/>
      <c r="GX192" s="19"/>
      <c r="GY192" s="19"/>
      <c r="GZ192" s="23"/>
      <c r="HA192" s="22" t="s">
        <v>633</v>
      </c>
      <c r="HB192" s="22" t="s">
        <v>633</v>
      </c>
      <c r="HC192" s="22"/>
      <c r="HD192" s="22" t="s">
        <v>633</v>
      </c>
      <c r="HE192" s="22" t="s">
        <v>633</v>
      </c>
      <c r="HF192" s="22"/>
      <c r="HG192" s="241"/>
    </row>
    <row r="193" spans="2:215" ht="15.75">
      <c r="B193" s="10"/>
      <c r="C193" s="184" t="s">
        <v>336</v>
      </c>
      <c r="D193" s="143"/>
      <c r="E193" s="73"/>
      <c r="F193" s="74"/>
      <c r="G193" s="74"/>
      <c r="H193" s="74"/>
      <c r="I193" s="73"/>
      <c r="J193" s="74"/>
      <c r="K193" s="74"/>
      <c r="L193" s="74"/>
      <c r="M193" s="191"/>
      <c r="N193" s="191"/>
      <c r="O193" s="74"/>
      <c r="P193" s="74"/>
      <c r="Q193" s="74"/>
      <c r="R193" s="191"/>
      <c r="S193" s="74"/>
      <c r="T193" s="74"/>
      <c r="U193" s="74"/>
      <c r="V193" s="52"/>
      <c r="W193" s="52"/>
      <c r="X193" s="52"/>
      <c r="Y193" s="52"/>
      <c r="Z193" s="22"/>
      <c r="AA193" s="52"/>
      <c r="AB193" s="22"/>
      <c r="AC193" s="52"/>
      <c r="AD193" s="22"/>
      <c r="AE193" s="22"/>
      <c r="AF193" s="22"/>
      <c r="AG193" s="22"/>
      <c r="AH193" s="52"/>
      <c r="AI193" s="52"/>
      <c r="AJ193" s="52"/>
      <c r="AK193" s="52"/>
      <c r="AL193" s="22"/>
      <c r="AM193" s="52"/>
      <c r="AN193" s="22"/>
      <c r="AO193" s="22"/>
      <c r="AP193" s="22"/>
      <c r="AQ193" s="22"/>
      <c r="AR193" s="22"/>
      <c r="AS193" s="22"/>
      <c r="AT193" s="22"/>
      <c r="AU193" s="22"/>
      <c r="AV193" s="77"/>
      <c r="AW193" s="77"/>
      <c r="AX193" s="78"/>
      <c r="AY193" s="22"/>
      <c r="AZ193" s="22"/>
      <c r="BA193" s="22"/>
      <c r="BB193" s="22"/>
      <c r="BC193" s="22"/>
      <c r="BD193" s="22"/>
      <c r="BE193" s="22"/>
      <c r="BF193" s="22"/>
      <c r="BG193" s="22"/>
      <c r="BH193" s="22"/>
      <c r="BI193" s="22"/>
      <c r="BJ193" s="83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19"/>
      <c r="CX193" s="19"/>
      <c r="CY193" s="19"/>
      <c r="CZ193" s="19"/>
      <c r="DA193" s="21"/>
      <c r="DB193" s="21"/>
      <c r="DC193" s="79"/>
      <c r="DD193" s="79"/>
      <c r="DE193" s="79"/>
      <c r="DF193" s="79"/>
      <c r="DG193" s="79"/>
      <c r="DH193" s="51"/>
      <c r="DI193" s="39"/>
      <c r="DJ193" s="80"/>
      <c r="DK193" s="39"/>
      <c r="DL193" s="39"/>
      <c r="DM193" s="48"/>
      <c r="DN193" s="39"/>
      <c r="DO193" s="39"/>
      <c r="DP193" s="39"/>
      <c r="DQ193" s="39"/>
      <c r="DR193" s="39"/>
      <c r="DS193" s="39"/>
      <c r="DT193" s="39"/>
      <c r="DU193" s="19"/>
      <c r="DV193" s="40"/>
      <c r="DW193" s="40"/>
      <c r="DX193" s="21"/>
      <c r="DY193" s="21"/>
      <c r="DZ193" s="19"/>
      <c r="EA193" s="19"/>
      <c r="EB193" s="19"/>
      <c r="EC193" s="48"/>
      <c r="ED193" s="48"/>
      <c r="EE193" s="22"/>
      <c r="EF193" s="22"/>
      <c r="EG193" s="22"/>
      <c r="EH193" s="22"/>
      <c r="EI193" s="22"/>
      <c r="EJ193" s="22"/>
      <c r="EK193" s="83"/>
      <c r="EL193" s="19"/>
      <c r="EM193" s="19"/>
      <c r="EN193" s="40"/>
      <c r="EO193" s="40"/>
      <c r="EP193" s="40"/>
      <c r="EQ193" s="21"/>
      <c r="ER193" s="21"/>
      <c r="ES193" s="21"/>
      <c r="ET193" s="21"/>
      <c r="EU193" s="19"/>
      <c r="EV193" s="21"/>
      <c r="EW193" s="39"/>
      <c r="EX193" s="39"/>
      <c r="EY193" s="39"/>
      <c r="EZ193" s="39"/>
      <c r="FA193" s="39"/>
      <c r="FB193" s="39"/>
      <c r="FC193" s="39"/>
      <c r="FD193" s="39"/>
      <c r="FE193" s="166"/>
      <c r="FF193" s="166"/>
      <c r="FG193" s="39"/>
      <c r="FH193" s="39"/>
      <c r="FI193" s="39"/>
      <c r="FJ193" s="19"/>
      <c r="FK193" s="19"/>
      <c r="FL193" s="19"/>
      <c r="FM193" s="19">
        <v>204.024</v>
      </c>
      <c r="FN193" s="19">
        <v>125.33499999999999</v>
      </c>
      <c r="FO193" s="22">
        <v>29.33</v>
      </c>
      <c r="FP193" s="22">
        <v>29.53</v>
      </c>
      <c r="FQ193" s="22"/>
      <c r="FR193" s="22">
        <v>24.97</v>
      </c>
      <c r="FS193" s="22">
        <v>25.64</v>
      </c>
      <c r="FT193" s="22"/>
      <c r="FU193" s="241"/>
      <c r="FV193" s="19"/>
      <c r="FW193" s="19"/>
      <c r="FX193" s="19"/>
      <c r="FY193" s="19"/>
      <c r="FZ193" s="19"/>
      <c r="GA193" s="19"/>
      <c r="GB193" s="19"/>
      <c r="GC193" s="20"/>
      <c r="GD193" s="20"/>
      <c r="GE193" s="21"/>
      <c r="GF193" s="21"/>
      <c r="GG193" s="21"/>
      <c r="GH193" s="21"/>
      <c r="GI193" s="21"/>
      <c r="GJ193" s="21"/>
      <c r="GK193" s="21"/>
      <c r="GL193" s="21"/>
      <c r="GM193" s="19"/>
      <c r="GN193" s="19"/>
      <c r="GO193" s="22" t="s">
        <v>633</v>
      </c>
      <c r="GP193" s="22" t="s">
        <v>633</v>
      </c>
      <c r="GQ193" s="22"/>
      <c r="GR193" s="22" t="s">
        <v>633</v>
      </c>
      <c r="GS193" s="22" t="s">
        <v>633</v>
      </c>
      <c r="GT193" s="22"/>
      <c r="GU193" s="241"/>
      <c r="GV193" s="19"/>
      <c r="GW193" s="19"/>
      <c r="GX193" s="19"/>
      <c r="GY193" s="19"/>
      <c r="GZ193" s="23"/>
      <c r="HA193" s="22" t="s">
        <v>633</v>
      </c>
      <c r="HB193" s="22" t="s">
        <v>633</v>
      </c>
      <c r="HC193" s="22"/>
      <c r="HD193" s="22" t="s">
        <v>633</v>
      </c>
      <c r="HE193" s="22" t="s">
        <v>633</v>
      </c>
      <c r="HF193" s="22"/>
      <c r="HG193" s="241"/>
    </row>
    <row r="194" spans="2:215" ht="15.75">
      <c r="B194" s="10" t="s">
        <v>337</v>
      </c>
      <c r="C194" s="81" t="s">
        <v>338</v>
      </c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52"/>
      <c r="W194" s="52"/>
      <c r="X194" s="52">
        <f t="shared" si="870"/>
        <v>0</v>
      </c>
      <c r="Y194" s="52"/>
      <c r="Z194" s="22">
        <f t="shared" si="852"/>
        <v>0</v>
      </c>
      <c r="AA194" s="52"/>
      <c r="AB194" s="22">
        <f t="shared" si="853"/>
        <v>0</v>
      </c>
      <c r="AC194" s="22"/>
      <c r="AD194" s="22"/>
      <c r="AE194" s="22">
        <f t="shared" si="810"/>
        <v>0</v>
      </c>
      <c r="AF194" s="22"/>
      <c r="AG194" s="22">
        <f t="shared" si="889"/>
        <v>0</v>
      </c>
      <c r="AH194" s="52"/>
      <c r="AI194" s="52"/>
      <c r="AJ194" s="52">
        <f t="shared" si="854"/>
        <v>0</v>
      </c>
      <c r="AK194" s="52"/>
      <c r="AL194" s="22">
        <f t="shared" si="855"/>
        <v>0</v>
      </c>
      <c r="AM194" s="52"/>
      <c r="AN194" s="22">
        <f t="shared" si="856"/>
        <v>0</v>
      </c>
      <c r="AO194" s="22">
        <f t="shared" si="871"/>
        <v>0</v>
      </c>
      <c r="AP194" s="22">
        <f t="shared" si="857"/>
        <v>0</v>
      </c>
      <c r="AQ194" s="22"/>
      <c r="AR194" s="22"/>
      <c r="AS194" s="22">
        <f t="shared" si="811"/>
        <v>0</v>
      </c>
      <c r="AT194" s="22">
        <v>0</v>
      </c>
      <c r="AU194" s="22">
        <f t="shared" si="890"/>
        <v>0</v>
      </c>
      <c r="AV194" s="77"/>
      <c r="AW194" s="77">
        <f t="shared" ref="AW194:AW199" si="897">+CY194/$CY$184*100</f>
        <v>0</v>
      </c>
      <c r="AX194" s="78"/>
      <c r="AY194" s="22">
        <f t="shared" ref="AY194:AY239" si="898">+AZ194+BA194+BB194</f>
        <v>0</v>
      </c>
      <c r="AZ194" s="22"/>
      <c r="BA194" s="22"/>
      <c r="BB194" s="22"/>
      <c r="BC194" s="22"/>
      <c r="BD194" s="22"/>
      <c r="BE194" s="22">
        <f t="shared" si="776"/>
        <v>0</v>
      </c>
      <c r="BF194" s="22"/>
      <c r="BG194" s="22"/>
      <c r="BH194" s="22">
        <f t="shared" si="777"/>
        <v>0</v>
      </c>
      <c r="BI194" s="22"/>
      <c r="BJ194" s="40"/>
      <c r="BK194" s="19">
        <f t="shared" si="812"/>
        <v>0</v>
      </c>
      <c r="BL194" s="19">
        <f t="shared" si="858"/>
        <v>0</v>
      </c>
      <c r="BM194" s="19">
        <f t="shared" si="859"/>
        <v>0</v>
      </c>
      <c r="BN194" s="19">
        <f t="shared" si="860"/>
        <v>0</v>
      </c>
      <c r="BO194" s="19">
        <f t="shared" si="813"/>
        <v>0</v>
      </c>
      <c r="BP194" s="19">
        <f t="shared" si="861"/>
        <v>0</v>
      </c>
      <c r="BQ194" s="19">
        <f t="shared" si="872"/>
        <v>0</v>
      </c>
      <c r="BR194" s="19">
        <f t="shared" si="862"/>
        <v>0</v>
      </c>
      <c r="BS194" s="19">
        <f t="shared" si="815"/>
        <v>0</v>
      </c>
      <c r="BT194" s="19">
        <f t="shared" si="863"/>
        <v>0</v>
      </c>
      <c r="BU194" s="19">
        <f t="shared" si="873"/>
        <v>0</v>
      </c>
      <c r="BV194" s="19">
        <f t="shared" si="864"/>
        <v>0</v>
      </c>
      <c r="BW194" s="19">
        <f t="shared" ref="BW194:BW206" si="899">+BX194+BY194+BZ194</f>
        <v>0</v>
      </c>
      <c r="BX194" s="19">
        <f t="shared" ref="BX194:BX206" si="900">+((AQ194/1.18*N194/1000)+(AR194/1.18*N194/1000))/2</f>
        <v>0</v>
      </c>
      <c r="BY194" s="19">
        <f t="shared" ref="BY194:BY206" si="901">+((AC194-ROUND(AQ194/1.18,2))*N194/1000+(AD194-ROUND(AR194/1.18,2))*N194/1000)/2</f>
        <v>0</v>
      </c>
      <c r="BZ194" s="19">
        <f t="shared" ref="BZ194:BZ206" si="902">+((AC194*R194/1000)+(R194*AD194/1000))/2</f>
        <v>0</v>
      </c>
      <c r="CA194" s="19">
        <f t="shared" ref="CA194:CA206" si="903">+CB194+CC194+CD194</f>
        <v>0</v>
      </c>
      <c r="CB194" s="19">
        <f t="shared" ref="CB194:CB206" si="904">+AT194/1.18*N194/1000</f>
        <v>0</v>
      </c>
      <c r="CC194" s="19">
        <f t="shared" ref="CC194:CC206" si="905">+(AF194-ROUND(AT194/1.18,2))*N194/1000</f>
        <v>0</v>
      </c>
      <c r="CD194" s="19">
        <f t="shared" ref="CD194:CD257" si="906">+AF194*R194/1000</f>
        <v>0</v>
      </c>
      <c r="CE194" s="48">
        <f t="shared" si="822"/>
        <v>0</v>
      </c>
      <c r="CF194" s="48">
        <f t="shared" si="823"/>
        <v>0</v>
      </c>
      <c r="CG194" s="48">
        <f t="shared" si="824"/>
        <v>0</v>
      </c>
      <c r="CH194" s="48">
        <f t="shared" si="825"/>
        <v>0</v>
      </c>
      <c r="CI194" s="48">
        <f t="shared" si="826"/>
        <v>0</v>
      </c>
      <c r="CJ194" s="48">
        <f t="shared" si="827"/>
        <v>0</v>
      </c>
      <c r="CK194" s="48">
        <f t="shared" si="828"/>
        <v>0</v>
      </c>
      <c r="CL194" s="48">
        <f t="shared" si="829"/>
        <v>0</v>
      </c>
      <c r="CM194" s="48">
        <f t="shared" si="830"/>
        <v>0</v>
      </c>
      <c r="CN194" s="48">
        <f t="shared" si="831"/>
        <v>0</v>
      </c>
      <c r="CO194" s="48">
        <f t="shared" si="832"/>
        <v>0</v>
      </c>
      <c r="CP194" s="48">
        <f t="shared" si="833"/>
        <v>0</v>
      </c>
      <c r="CQ194" s="48">
        <f t="shared" si="834"/>
        <v>0</v>
      </c>
      <c r="CR194" s="48">
        <f t="shared" si="835"/>
        <v>0</v>
      </c>
      <c r="CS194" s="48">
        <f t="shared" si="836"/>
        <v>0</v>
      </c>
      <c r="CT194" s="48">
        <f t="shared" si="837"/>
        <v>0</v>
      </c>
      <c r="CU194" s="48">
        <f t="shared" si="838"/>
        <v>0</v>
      </c>
      <c r="CV194" s="48">
        <f t="shared" si="839"/>
        <v>0</v>
      </c>
      <c r="CW194" s="19">
        <f t="shared" ref="CW194:CW206" si="907">+((AI194*F194)/1.18+(G194*AK194)/1.18+(H194*AM194)/1.18)/1000</f>
        <v>0</v>
      </c>
      <c r="CX194" s="19">
        <f t="shared" ref="CX194:CX206" si="908">+((W194*F194)+(Y194*G194)+(AA194*H194))/1000</f>
        <v>0</v>
      </c>
      <c r="CY194" s="19">
        <f t="shared" ref="CY194:CY206" si="909">+((AQ194*O194)/1.18+(Q194*AT194)/1.18+(AR194*P194)/1.18)/1000</f>
        <v>0</v>
      </c>
      <c r="CZ194" s="19">
        <f t="shared" ref="CZ194:CZ206" si="910">+((AC194*O194)+(AF194*Q194)+(AD194*P194))/1000</f>
        <v>0</v>
      </c>
      <c r="DA194" s="21">
        <f t="shared" si="844"/>
        <v>0</v>
      </c>
      <c r="DB194" s="21">
        <f t="shared" si="845"/>
        <v>0</v>
      </c>
      <c r="DC194" s="79">
        <f t="shared" si="846"/>
        <v>0</v>
      </c>
      <c r="DD194" s="79">
        <f t="shared" si="846"/>
        <v>0</v>
      </c>
      <c r="DE194" s="79">
        <f t="shared" ref="DE194:DF209" si="911">+(O194+S194)*AC194/1000</f>
        <v>0</v>
      </c>
      <c r="DF194" s="79">
        <f t="shared" si="911"/>
        <v>0</v>
      </c>
      <c r="DG194" s="79">
        <f t="shared" si="874"/>
        <v>0</v>
      </c>
      <c r="DH194" s="51">
        <f t="shared" si="848"/>
        <v>0</v>
      </c>
      <c r="DI194" s="39"/>
      <c r="DJ194" s="80">
        <f t="shared" si="849"/>
        <v>0</v>
      </c>
      <c r="DK194" s="39">
        <f t="shared" si="850"/>
        <v>0</v>
      </c>
      <c r="DL194" s="39">
        <f t="shared" si="851"/>
        <v>0</v>
      </c>
      <c r="DM194" s="48">
        <f>+AT194-'[2]тарифы (12-13) население 15%'!AP239</f>
        <v>0</v>
      </c>
      <c r="DN194" s="39"/>
      <c r="DO194" s="39"/>
      <c r="DP194" s="39"/>
      <c r="DQ194" s="39"/>
      <c r="DR194" s="39"/>
      <c r="DS194" s="39"/>
      <c r="DT194" s="39"/>
      <c r="DU194" s="19">
        <f t="shared" si="778"/>
        <v>0</v>
      </c>
      <c r="DV194" s="40">
        <f t="shared" ref="DV194:DV239" si="912">+(BG194*AZ194)/1.18</f>
        <v>0</v>
      </c>
      <c r="DW194" s="40">
        <f t="shared" ref="DW194:DW239" si="913">+BD194*AZ194</f>
        <v>0</v>
      </c>
      <c r="DX194" s="46"/>
      <c r="DY194" s="21">
        <f t="shared" ref="DY194:DY237" si="914">+IF(DW194=0,,DV194/DW194*100)</f>
        <v>0</v>
      </c>
      <c r="DZ194" s="19">
        <f t="shared" ref="DZ194:DZ239" si="915">+BC194*AY194/1000</f>
        <v>0</v>
      </c>
      <c r="EA194" s="19">
        <f t="shared" ref="EA194:EA239" si="916">+BD194*AY194/1000</f>
        <v>0</v>
      </c>
      <c r="EB194" s="19"/>
      <c r="EC194" s="48">
        <f t="shared" si="879"/>
        <v>0</v>
      </c>
      <c r="ED194" s="48">
        <f t="shared" si="880"/>
        <v>0</v>
      </c>
      <c r="EE194" s="22"/>
      <c r="EF194" s="22"/>
      <c r="EG194" s="22">
        <f t="shared" ref="EG194:EG237" si="917">+IF(EE194=0,,EF194/EE194*100)</f>
        <v>0</v>
      </c>
      <c r="EH194" s="22"/>
      <c r="EI194" s="22"/>
      <c r="EJ194" s="22">
        <f t="shared" ref="EJ194:EJ237" si="918">+IF(EH194=0,,EI194/EH194*100)</f>
        <v>0</v>
      </c>
      <c r="EK194" s="40"/>
      <c r="EL194" s="19"/>
      <c r="EM194" s="19"/>
      <c r="EN194" s="40">
        <f t="shared" si="891"/>
        <v>0</v>
      </c>
      <c r="EO194" s="40">
        <f t="shared" si="892"/>
        <v>0</v>
      </c>
      <c r="EP194" s="40"/>
      <c r="EQ194" s="21">
        <f t="shared" si="888"/>
        <v>0</v>
      </c>
      <c r="ER194" s="21"/>
      <c r="ES194" s="21">
        <f t="shared" si="881"/>
        <v>0</v>
      </c>
      <c r="ET194" s="21"/>
      <c r="EU194" s="19">
        <f t="shared" si="893"/>
        <v>0</v>
      </c>
      <c r="EV194" s="21"/>
      <c r="EW194" s="39"/>
      <c r="EX194" s="39">
        <f t="shared" si="882"/>
        <v>0</v>
      </c>
      <c r="EY194" s="39">
        <f t="shared" si="867"/>
        <v>0</v>
      </c>
      <c r="EZ194" s="39"/>
      <c r="FA194" s="39"/>
      <c r="FB194" s="39"/>
      <c r="FC194" s="39"/>
      <c r="FD194" s="39"/>
      <c r="FE194" s="166"/>
      <c r="FF194" s="166"/>
      <c r="FG194" s="39"/>
      <c r="FH194" s="39"/>
      <c r="FI194" s="39"/>
      <c r="FJ194" s="19">
        <f t="shared" si="894"/>
        <v>0</v>
      </c>
      <c r="FK194" s="19">
        <f t="shared" si="895"/>
        <v>0</v>
      </c>
      <c r="FL194" s="19">
        <f t="shared" si="896"/>
        <v>0</v>
      </c>
      <c r="FM194" s="19"/>
      <c r="FN194" s="19"/>
      <c r="FO194" s="22"/>
      <c r="FP194" s="22"/>
      <c r="FQ194" s="22"/>
      <c r="FR194" s="22"/>
      <c r="FS194" s="22"/>
      <c r="FT194" s="22"/>
      <c r="FU194" s="40"/>
      <c r="FV194" s="19"/>
      <c r="FW194" s="19"/>
      <c r="FX194" s="19"/>
      <c r="FY194" s="19"/>
      <c r="FZ194" s="19"/>
      <c r="GA194" s="19"/>
      <c r="GB194" s="19"/>
      <c r="GC194" s="20"/>
      <c r="GD194" s="20"/>
      <c r="GE194" s="21"/>
      <c r="GF194" s="21"/>
      <c r="GG194" s="21"/>
      <c r="GH194" s="21"/>
      <c r="GI194" s="21"/>
      <c r="GJ194" s="21"/>
      <c r="GK194" s="21"/>
      <c r="GL194" s="21"/>
      <c r="GM194" s="19"/>
      <c r="GN194" s="19"/>
      <c r="GO194" s="22"/>
      <c r="GP194" s="22"/>
      <c r="GQ194" s="22"/>
      <c r="GR194" s="22"/>
      <c r="GS194" s="22"/>
      <c r="GT194" s="22"/>
      <c r="GU194" s="43"/>
      <c r="GV194" s="19"/>
      <c r="GW194" s="19"/>
      <c r="GX194" s="19"/>
      <c r="GY194" s="19"/>
      <c r="GZ194" s="23"/>
      <c r="HA194" s="22"/>
      <c r="HB194" s="22"/>
      <c r="HC194" s="22"/>
      <c r="HD194" s="22"/>
      <c r="HE194" s="22"/>
      <c r="HF194" s="22"/>
      <c r="HG194" s="233"/>
    </row>
    <row r="195" spans="2:215" ht="15.75">
      <c r="B195" s="10"/>
      <c r="C195" s="161" t="s">
        <v>153</v>
      </c>
      <c r="D195" s="143">
        <f>+I195+E195</f>
        <v>4460</v>
      </c>
      <c r="E195" s="46"/>
      <c r="F195" s="46"/>
      <c r="G195" s="46"/>
      <c r="H195" s="46"/>
      <c r="I195" s="143">
        <v>4460</v>
      </c>
      <c r="J195" s="74">
        <f>+I195*$J$3</f>
        <v>2464.596</v>
      </c>
      <c r="K195" s="74">
        <f>+I195*$K$3</f>
        <v>664.98599999999999</v>
      </c>
      <c r="L195" s="74">
        <f>+I195*$L$3</f>
        <v>1330.4180000000001</v>
      </c>
      <c r="M195" s="46">
        <f>+N195+R195</f>
        <v>4460</v>
      </c>
      <c r="N195" s="46">
        <f>+E195</f>
        <v>0</v>
      </c>
      <c r="O195" s="46"/>
      <c r="P195" s="46"/>
      <c r="Q195" s="46"/>
      <c r="R195" s="46">
        <f>+I195</f>
        <v>4460</v>
      </c>
      <c r="S195" s="74">
        <v>2629.616</v>
      </c>
      <c r="T195" s="74"/>
      <c r="U195" s="74">
        <v>1830.384</v>
      </c>
      <c r="V195" s="52">
        <v>1144.02</v>
      </c>
      <c r="W195" s="52">
        <v>1144.02</v>
      </c>
      <c r="X195" s="52">
        <f t="shared" si="870"/>
        <v>100</v>
      </c>
      <c r="Y195" s="52">
        <v>1203.6500000000001</v>
      </c>
      <c r="Z195" s="22">
        <f t="shared" si="852"/>
        <v>105.2123214629115</v>
      </c>
      <c r="AA195" s="52">
        <v>1261.43</v>
      </c>
      <c r="AB195" s="22">
        <f t="shared" si="853"/>
        <v>104.80039878702281</v>
      </c>
      <c r="AC195" s="52">
        <v>1261.43</v>
      </c>
      <c r="AD195" s="52">
        <v>1261.43</v>
      </c>
      <c r="AE195" s="22">
        <f t="shared" si="810"/>
        <v>111.7002132500416</v>
      </c>
      <c r="AF195" s="22">
        <v>1409.02</v>
      </c>
      <c r="AG195" s="22">
        <f t="shared" si="889"/>
        <v>111.7002132500416</v>
      </c>
      <c r="AH195" s="52"/>
      <c r="AI195" s="52"/>
      <c r="AJ195" s="52">
        <f t="shared" si="854"/>
        <v>0</v>
      </c>
      <c r="AK195" s="52"/>
      <c r="AL195" s="22">
        <f t="shared" si="855"/>
        <v>0</v>
      </c>
      <c r="AM195" s="52"/>
      <c r="AN195" s="22">
        <f t="shared" si="856"/>
        <v>0</v>
      </c>
      <c r="AO195" s="22">
        <f t="shared" si="871"/>
        <v>110.26293246621563</v>
      </c>
      <c r="AP195" s="22">
        <f t="shared" si="857"/>
        <v>0</v>
      </c>
      <c r="AQ195" s="22"/>
      <c r="AR195" s="22"/>
      <c r="AS195" s="22">
        <f t="shared" si="811"/>
        <v>0</v>
      </c>
      <c r="AT195" s="22"/>
      <c r="AU195" s="22">
        <f t="shared" si="890"/>
        <v>0</v>
      </c>
      <c r="AV195" s="77"/>
      <c r="AW195" s="77">
        <f t="shared" si="897"/>
        <v>0</v>
      </c>
      <c r="AX195" s="78" t="s">
        <v>339</v>
      </c>
      <c r="AY195" s="22">
        <f t="shared" si="898"/>
        <v>2.7599999999999993</v>
      </c>
      <c r="AZ195" s="22">
        <f>+[8]БПр!$BX$1014/1000</f>
        <v>0</v>
      </c>
      <c r="BA195" s="22"/>
      <c r="BB195" s="22">
        <f>+[8]БПр!$BO$1012/1000</f>
        <v>2.7599999999999993</v>
      </c>
      <c r="BC195" s="22">
        <v>1409.02</v>
      </c>
      <c r="BD195" s="22">
        <v>1531</v>
      </c>
      <c r="BE195" s="22">
        <f t="shared" si="776"/>
        <v>108.65708080793743</v>
      </c>
      <c r="BF195" s="22">
        <v>1320.98</v>
      </c>
      <c r="BG195" s="22">
        <v>1376.46</v>
      </c>
      <c r="BH195" s="22">
        <f t="shared" si="777"/>
        <v>104.19991218640708</v>
      </c>
      <c r="BI195" s="22">
        <f>+BD195-BG195/1.18</f>
        <v>364.50847457627106</v>
      </c>
      <c r="BJ195" s="40" t="s">
        <v>340</v>
      </c>
      <c r="BK195" s="19">
        <f t="shared" si="812"/>
        <v>5102.3292000000001</v>
      </c>
      <c r="BL195" s="19">
        <f t="shared" si="858"/>
        <v>0</v>
      </c>
      <c r="BM195" s="19">
        <f t="shared" si="859"/>
        <v>0</v>
      </c>
      <c r="BN195" s="19">
        <f t="shared" si="860"/>
        <v>5102.3292000000001</v>
      </c>
      <c r="BO195" s="19">
        <f t="shared" si="813"/>
        <v>5368.2790000000005</v>
      </c>
      <c r="BP195" s="19">
        <f t="shared" si="861"/>
        <v>0</v>
      </c>
      <c r="BQ195" s="19">
        <f t="shared" si="872"/>
        <v>0</v>
      </c>
      <c r="BR195" s="19">
        <f t="shared" si="862"/>
        <v>5368.2790000000005</v>
      </c>
      <c r="BS195" s="19">
        <f t="shared" si="815"/>
        <v>5625.9778000000006</v>
      </c>
      <c r="BT195" s="19">
        <f t="shared" si="863"/>
        <v>0</v>
      </c>
      <c r="BU195" s="19">
        <f t="shared" si="873"/>
        <v>0</v>
      </c>
      <c r="BV195" s="19">
        <f t="shared" si="864"/>
        <v>5625.9778000000006</v>
      </c>
      <c r="BW195" s="19">
        <f t="shared" si="899"/>
        <v>5625.9778000000006</v>
      </c>
      <c r="BX195" s="19">
        <f t="shared" si="900"/>
        <v>0</v>
      </c>
      <c r="BY195" s="19">
        <f t="shared" si="901"/>
        <v>0</v>
      </c>
      <c r="BZ195" s="19">
        <f t="shared" si="902"/>
        <v>5625.9778000000006</v>
      </c>
      <c r="CA195" s="19">
        <f t="shared" si="903"/>
        <v>6284.2291999999998</v>
      </c>
      <c r="CB195" s="19">
        <f t="shared" si="904"/>
        <v>0</v>
      </c>
      <c r="CC195" s="19">
        <f t="shared" si="905"/>
        <v>0</v>
      </c>
      <c r="CD195" s="19">
        <f t="shared" si="906"/>
        <v>6284.2291999999998</v>
      </c>
      <c r="CE195" s="48">
        <f t="shared" si="822"/>
        <v>1144.02</v>
      </c>
      <c r="CF195" s="48">
        <f t="shared" si="823"/>
        <v>1203.6500000000001</v>
      </c>
      <c r="CG195" s="48">
        <f t="shared" si="824"/>
        <v>1261.43</v>
      </c>
      <c r="CH195" s="48">
        <f t="shared" si="825"/>
        <v>0</v>
      </c>
      <c r="CI195" s="48">
        <f t="shared" si="826"/>
        <v>0</v>
      </c>
      <c r="CJ195" s="48">
        <f t="shared" si="827"/>
        <v>0</v>
      </c>
      <c r="CK195" s="48">
        <f t="shared" si="828"/>
        <v>1144.02</v>
      </c>
      <c r="CL195" s="48">
        <f t="shared" si="829"/>
        <v>1203.6500000000001</v>
      </c>
      <c r="CM195" s="48">
        <f t="shared" si="830"/>
        <v>1261.43</v>
      </c>
      <c r="CN195" s="48">
        <f t="shared" si="831"/>
        <v>1203.0333333333333</v>
      </c>
      <c r="CO195" s="48">
        <f t="shared" si="832"/>
        <v>1261.43</v>
      </c>
      <c r="CP195" s="48">
        <f t="shared" si="833"/>
        <v>1409.02</v>
      </c>
      <c r="CQ195" s="48">
        <f t="shared" si="834"/>
        <v>0</v>
      </c>
      <c r="CR195" s="48">
        <f t="shared" si="835"/>
        <v>0</v>
      </c>
      <c r="CS195" s="48">
        <f t="shared" si="836"/>
        <v>1261.43</v>
      </c>
      <c r="CT195" s="48">
        <f t="shared" si="837"/>
        <v>1409.02</v>
      </c>
      <c r="CU195" s="48">
        <f t="shared" si="838"/>
        <v>1335.2250000000001</v>
      </c>
      <c r="CV195" s="48">
        <f t="shared" si="839"/>
        <v>110.98819650328338</v>
      </c>
      <c r="CW195" s="19">
        <f t="shared" si="907"/>
        <v>0</v>
      </c>
      <c r="CX195" s="19">
        <f t="shared" si="908"/>
        <v>0</v>
      </c>
      <c r="CY195" s="19">
        <f t="shared" si="909"/>
        <v>0</v>
      </c>
      <c r="CZ195" s="19">
        <f t="shared" si="910"/>
        <v>0</v>
      </c>
      <c r="DA195" s="21">
        <f t="shared" si="844"/>
        <v>0</v>
      </c>
      <c r="DB195" s="21">
        <f t="shared" si="845"/>
        <v>0</v>
      </c>
      <c r="DC195" s="79">
        <f t="shared" si="846"/>
        <v>0</v>
      </c>
      <c r="DD195" s="79">
        <f t="shared" si="846"/>
        <v>0</v>
      </c>
      <c r="DE195" s="79">
        <f t="shared" si="911"/>
        <v>3317.0765108800001</v>
      </c>
      <c r="DF195" s="79">
        <f t="shared" si="911"/>
        <v>0</v>
      </c>
      <c r="DG195" s="79">
        <f t="shared" si="874"/>
        <v>2579.0476636799999</v>
      </c>
      <c r="DH195" s="51">
        <f t="shared" si="848"/>
        <v>5896.12417456</v>
      </c>
      <c r="DI195" s="39"/>
      <c r="DJ195" s="80">
        <f t="shared" si="849"/>
        <v>2819.5471159199997</v>
      </c>
      <c r="DK195" s="39">
        <f t="shared" si="850"/>
        <v>800.41039890000002</v>
      </c>
      <c r="DL195" s="39">
        <f t="shared" si="851"/>
        <v>1678.2291777400003</v>
      </c>
      <c r="DM195" s="48">
        <f>+AT195-'[2]тарифы (12-13) население 15%'!AP240</f>
        <v>0</v>
      </c>
      <c r="DN195" s="39"/>
      <c r="DO195" s="39"/>
      <c r="DP195" s="39"/>
      <c r="DQ195" s="39"/>
      <c r="DR195" s="39"/>
      <c r="DS195" s="39"/>
      <c r="DT195" s="39"/>
      <c r="DU195" s="19">
        <f t="shared" si="778"/>
        <v>0</v>
      </c>
      <c r="DV195" s="40">
        <f t="shared" si="912"/>
        <v>0</v>
      </c>
      <c r="DW195" s="40">
        <f t="shared" si="913"/>
        <v>0</v>
      </c>
      <c r="DX195" s="46"/>
      <c r="DY195" s="21">
        <f t="shared" si="914"/>
        <v>0</v>
      </c>
      <c r="DZ195" s="19">
        <f t="shared" si="915"/>
        <v>3.888895199999999</v>
      </c>
      <c r="EA195" s="19">
        <f t="shared" si="916"/>
        <v>4.2255599999999989</v>
      </c>
      <c r="EB195" s="19"/>
      <c r="EC195" s="48">
        <f t="shared" si="879"/>
        <v>0</v>
      </c>
      <c r="ED195" s="48">
        <f t="shared" si="880"/>
        <v>0</v>
      </c>
      <c r="EE195" s="22">
        <v>1530.46</v>
      </c>
      <c r="EF195" s="22">
        <v>1654.51</v>
      </c>
      <c r="EG195" s="22">
        <f t="shared" si="917"/>
        <v>108.10540621773845</v>
      </c>
      <c r="EH195" s="22">
        <v>1376.46</v>
      </c>
      <c r="EI195" s="22">
        <v>1492.77</v>
      </c>
      <c r="EJ195" s="22">
        <f t="shared" si="918"/>
        <v>108.44993679438559</v>
      </c>
      <c r="EK195" s="40" t="s">
        <v>341</v>
      </c>
      <c r="EL195" s="19">
        <v>2.7599999999999993</v>
      </c>
      <c r="EM195" s="19">
        <v>0</v>
      </c>
      <c r="EN195" s="40">
        <f t="shared" si="891"/>
        <v>0</v>
      </c>
      <c r="EO195" s="40">
        <f t="shared" si="892"/>
        <v>0</v>
      </c>
      <c r="EP195" s="40"/>
      <c r="EQ195" s="21">
        <f t="shared" si="888"/>
        <v>0</v>
      </c>
      <c r="ER195" s="21"/>
      <c r="ES195" s="21">
        <f t="shared" si="881"/>
        <v>4224.0695999999989</v>
      </c>
      <c r="ET195" s="21"/>
      <c r="EU195" s="19">
        <f t="shared" si="893"/>
        <v>4566.4475999999986</v>
      </c>
      <c r="EV195" s="21"/>
      <c r="EW195" s="39"/>
      <c r="EX195" s="39">
        <f t="shared" si="882"/>
        <v>4225.5599999999986</v>
      </c>
      <c r="EY195" s="39">
        <f t="shared" si="867"/>
        <v>4566.4475999999986</v>
      </c>
      <c r="EZ195" s="39"/>
      <c r="FA195" s="39"/>
      <c r="FB195" s="39"/>
      <c r="FC195" s="39"/>
      <c r="FD195" s="39"/>
      <c r="FE195" s="166"/>
      <c r="FF195" s="166"/>
      <c r="FG195" s="39"/>
      <c r="FH195" s="39"/>
      <c r="FI195" s="39"/>
      <c r="FJ195" s="19">
        <f t="shared" si="894"/>
        <v>0</v>
      </c>
      <c r="FK195" s="19">
        <f t="shared" si="895"/>
        <v>0</v>
      </c>
      <c r="FL195" s="19">
        <f t="shared" si="896"/>
        <v>0</v>
      </c>
      <c r="FM195" s="19">
        <v>4</v>
      </c>
      <c r="FN195" s="19"/>
      <c r="FO195" s="22">
        <v>1677.98</v>
      </c>
      <c r="FP195" s="22">
        <v>1678.18</v>
      </c>
      <c r="FQ195" s="22"/>
      <c r="FR195" s="22" t="s">
        <v>633</v>
      </c>
      <c r="FS195" s="22" t="s">
        <v>633</v>
      </c>
      <c r="FT195" s="22"/>
      <c r="FU195" s="40" t="s">
        <v>676</v>
      </c>
      <c r="FV195" s="19"/>
      <c r="FW195" s="19"/>
      <c r="FX195" s="19"/>
      <c r="FY195" s="19"/>
      <c r="FZ195" s="19"/>
      <c r="GA195" s="19"/>
      <c r="GB195" s="19"/>
      <c r="GC195" s="20"/>
      <c r="GD195" s="20"/>
      <c r="GE195" s="21"/>
      <c r="GF195" s="21"/>
      <c r="GG195" s="21"/>
      <c r="GH195" s="21"/>
      <c r="GI195" s="21"/>
      <c r="GJ195" s="21"/>
      <c r="GK195" s="21"/>
      <c r="GL195" s="21"/>
      <c r="GM195" s="19"/>
      <c r="GN195" s="19"/>
      <c r="GO195" s="22">
        <v>1678.18</v>
      </c>
      <c r="GP195" s="22">
        <v>1679.39</v>
      </c>
      <c r="GQ195" s="22"/>
      <c r="GR195" s="22" t="s">
        <v>633</v>
      </c>
      <c r="GS195" s="22" t="s">
        <v>633</v>
      </c>
      <c r="GT195" s="22"/>
      <c r="GU195" s="40" t="s">
        <v>676</v>
      </c>
      <c r="GV195" s="19"/>
      <c r="GW195" s="19"/>
      <c r="GX195" s="19"/>
      <c r="GY195" s="19"/>
      <c r="GZ195" s="23"/>
      <c r="HA195" s="22">
        <v>1679.39</v>
      </c>
      <c r="HB195" s="22">
        <v>1718.36</v>
      </c>
      <c r="HC195" s="22"/>
      <c r="HD195" s="22" t="s">
        <v>633</v>
      </c>
      <c r="HE195" s="22" t="s">
        <v>633</v>
      </c>
      <c r="HF195" s="22"/>
      <c r="HG195" s="236" t="s">
        <v>676</v>
      </c>
    </row>
    <row r="196" spans="2:215" ht="15.75">
      <c r="B196" s="10" t="s">
        <v>342</v>
      </c>
      <c r="C196" s="81" t="s">
        <v>343</v>
      </c>
      <c r="D196" s="46"/>
      <c r="E196" s="46"/>
      <c r="F196" s="46"/>
      <c r="G196" s="46"/>
      <c r="H196" s="46"/>
      <c r="I196" s="46"/>
      <c r="J196" s="46"/>
      <c r="K196" s="46"/>
      <c r="L196" s="46"/>
      <c r="M196" s="46">
        <f t="shared" ref="M196:M206" si="919">+N196+R196</f>
        <v>0</v>
      </c>
      <c r="N196" s="46">
        <f t="shared" ref="N196:N206" si="920">+E196</f>
        <v>0</v>
      </c>
      <c r="O196" s="46"/>
      <c r="P196" s="46"/>
      <c r="Q196" s="46"/>
      <c r="R196" s="46">
        <f t="shared" ref="R196:R206" si="921">+I196</f>
        <v>0</v>
      </c>
      <c r="S196" s="46"/>
      <c r="T196" s="46"/>
      <c r="U196" s="46"/>
      <c r="V196" s="52"/>
      <c r="W196" s="52"/>
      <c r="X196" s="52">
        <f t="shared" si="870"/>
        <v>0</v>
      </c>
      <c r="Y196" s="52"/>
      <c r="Z196" s="22">
        <f t="shared" si="852"/>
        <v>0</v>
      </c>
      <c r="AA196" s="52"/>
      <c r="AB196" s="22">
        <f t="shared" si="853"/>
        <v>0</v>
      </c>
      <c r="AC196" s="22"/>
      <c r="AD196" s="22"/>
      <c r="AE196" s="22">
        <f t="shared" ref="AE196:AE221" si="922">+IF(AC196=0,,AF196/AC196*100)</f>
        <v>0</v>
      </c>
      <c r="AF196" s="22"/>
      <c r="AG196" s="22">
        <f t="shared" si="889"/>
        <v>0</v>
      </c>
      <c r="AH196" s="52"/>
      <c r="AI196" s="52"/>
      <c r="AJ196" s="52">
        <f t="shared" si="854"/>
        <v>0</v>
      </c>
      <c r="AK196" s="52"/>
      <c r="AL196" s="22">
        <f t="shared" si="855"/>
        <v>0</v>
      </c>
      <c r="AM196" s="52"/>
      <c r="AN196" s="22">
        <f t="shared" si="856"/>
        <v>0</v>
      </c>
      <c r="AO196" s="22">
        <f t="shared" si="871"/>
        <v>0</v>
      </c>
      <c r="AP196" s="22">
        <f t="shared" si="857"/>
        <v>0</v>
      </c>
      <c r="AQ196" s="22"/>
      <c r="AR196" s="22"/>
      <c r="AS196" s="22">
        <f t="shared" ref="AS196:AS221" si="923">+IF(AQ196=0,,AT196/AQ196*100)</f>
        <v>0</v>
      </c>
      <c r="AT196" s="22"/>
      <c r="AU196" s="22">
        <f t="shared" si="890"/>
        <v>0</v>
      </c>
      <c r="AV196" s="77"/>
      <c r="AW196" s="77">
        <f t="shared" si="897"/>
        <v>0</v>
      </c>
      <c r="AX196" s="78"/>
      <c r="AY196" s="22">
        <f t="shared" si="898"/>
        <v>0</v>
      </c>
      <c r="AZ196" s="22"/>
      <c r="BA196" s="22"/>
      <c r="BB196" s="22"/>
      <c r="BC196" s="22"/>
      <c r="BD196" s="22"/>
      <c r="BE196" s="22">
        <f t="shared" si="776"/>
        <v>0</v>
      </c>
      <c r="BF196" s="22"/>
      <c r="BG196" s="22"/>
      <c r="BH196" s="22">
        <f t="shared" si="777"/>
        <v>0</v>
      </c>
      <c r="BI196" s="22"/>
      <c r="BJ196" s="40"/>
      <c r="BK196" s="19">
        <f t="shared" si="812"/>
        <v>0</v>
      </c>
      <c r="BL196" s="19">
        <f t="shared" si="858"/>
        <v>0</v>
      </c>
      <c r="BM196" s="19">
        <f t="shared" si="859"/>
        <v>0</v>
      </c>
      <c r="BN196" s="19">
        <f t="shared" si="860"/>
        <v>0</v>
      </c>
      <c r="BO196" s="19">
        <f t="shared" si="813"/>
        <v>0</v>
      </c>
      <c r="BP196" s="19">
        <f t="shared" si="861"/>
        <v>0</v>
      </c>
      <c r="BQ196" s="19">
        <f t="shared" si="872"/>
        <v>0</v>
      </c>
      <c r="BR196" s="19">
        <f t="shared" si="862"/>
        <v>0</v>
      </c>
      <c r="BS196" s="19">
        <f t="shared" si="815"/>
        <v>0</v>
      </c>
      <c r="BT196" s="19">
        <f t="shared" si="863"/>
        <v>0</v>
      </c>
      <c r="BU196" s="19">
        <f t="shared" si="873"/>
        <v>0</v>
      </c>
      <c r="BV196" s="19">
        <f t="shared" si="864"/>
        <v>0</v>
      </c>
      <c r="BW196" s="19">
        <f t="shared" si="899"/>
        <v>0</v>
      </c>
      <c r="BX196" s="19">
        <f t="shared" si="900"/>
        <v>0</v>
      </c>
      <c r="BY196" s="19">
        <f t="shared" si="901"/>
        <v>0</v>
      </c>
      <c r="BZ196" s="19">
        <f t="shared" si="902"/>
        <v>0</v>
      </c>
      <c r="CA196" s="19">
        <f t="shared" si="903"/>
        <v>0</v>
      </c>
      <c r="CB196" s="19">
        <f t="shared" si="904"/>
        <v>0</v>
      </c>
      <c r="CC196" s="19">
        <f t="shared" si="905"/>
        <v>0</v>
      </c>
      <c r="CD196" s="19">
        <f t="shared" si="906"/>
        <v>0</v>
      </c>
      <c r="CE196" s="48">
        <f t="shared" si="822"/>
        <v>0</v>
      </c>
      <c r="CF196" s="48">
        <f t="shared" si="823"/>
        <v>0</v>
      </c>
      <c r="CG196" s="48">
        <f t="shared" si="824"/>
        <v>0</v>
      </c>
      <c r="CH196" s="48">
        <f t="shared" si="825"/>
        <v>0</v>
      </c>
      <c r="CI196" s="48">
        <f t="shared" si="826"/>
        <v>0</v>
      </c>
      <c r="CJ196" s="48">
        <f t="shared" si="827"/>
        <v>0</v>
      </c>
      <c r="CK196" s="48">
        <f t="shared" si="828"/>
        <v>0</v>
      </c>
      <c r="CL196" s="48">
        <f t="shared" si="829"/>
        <v>0</v>
      </c>
      <c r="CM196" s="48">
        <f t="shared" si="830"/>
        <v>0</v>
      </c>
      <c r="CN196" s="48">
        <f t="shared" si="831"/>
        <v>0</v>
      </c>
      <c r="CO196" s="48">
        <f t="shared" si="832"/>
        <v>0</v>
      </c>
      <c r="CP196" s="48">
        <f t="shared" si="833"/>
        <v>0</v>
      </c>
      <c r="CQ196" s="48">
        <f t="shared" si="834"/>
        <v>0</v>
      </c>
      <c r="CR196" s="48">
        <f t="shared" si="835"/>
        <v>0</v>
      </c>
      <c r="CS196" s="48">
        <f t="shared" si="836"/>
        <v>0</v>
      </c>
      <c r="CT196" s="48">
        <f t="shared" si="837"/>
        <v>0</v>
      </c>
      <c r="CU196" s="48">
        <f t="shared" si="838"/>
        <v>0</v>
      </c>
      <c r="CV196" s="48">
        <f t="shared" si="839"/>
        <v>0</v>
      </c>
      <c r="CW196" s="19">
        <f t="shared" si="907"/>
        <v>0</v>
      </c>
      <c r="CX196" s="19">
        <f t="shared" si="908"/>
        <v>0</v>
      </c>
      <c r="CY196" s="19">
        <f t="shared" si="909"/>
        <v>0</v>
      </c>
      <c r="CZ196" s="19">
        <f t="shared" si="910"/>
        <v>0</v>
      </c>
      <c r="DA196" s="21">
        <f t="shared" si="844"/>
        <v>0</v>
      </c>
      <c r="DB196" s="21">
        <f t="shared" si="845"/>
        <v>0</v>
      </c>
      <c r="DC196" s="79">
        <f t="shared" si="846"/>
        <v>0</v>
      </c>
      <c r="DD196" s="79">
        <f t="shared" si="846"/>
        <v>0</v>
      </c>
      <c r="DE196" s="79">
        <f t="shared" si="911"/>
        <v>0</v>
      </c>
      <c r="DF196" s="79">
        <f t="shared" si="911"/>
        <v>0</v>
      </c>
      <c r="DG196" s="79">
        <f t="shared" si="874"/>
        <v>0</v>
      </c>
      <c r="DH196" s="51">
        <f t="shared" si="848"/>
        <v>0</v>
      </c>
      <c r="DI196" s="39"/>
      <c r="DJ196" s="80">
        <f t="shared" si="849"/>
        <v>0</v>
      </c>
      <c r="DK196" s="39">
        <f t="shared" si="850"/>
        <v>0</v>
      </c>
      <c r="DL196" s="39">
        <f t="shared" si="851"/>
        <v>0</v>
      </c>
      <c r="DM196" s="48">
        <f>+AT196-'[2]тарифы (12-13) население 15%'!AP241</f>
        <v>0</v>
      </c>
      <c r="DN196" s="39"/>
      <c r="DO196" s="39"/>
      <c r="DP196" s="39"/>
      <c r="DQ196" s="39"/>
      <c r="DR196" s="39"/>
      <c r="DS196" s="39"/>
      <c r="DT196" s="39"/>
      <c r="DU196" s="19">
        <f t="shared" si="778"/>
        <v>0</v>
      </c>
      <c r="DV196" s="40">
        <f t="shared" si="912"/>
        <v>0</v>
      </c>
      <c r="DW196" s="40">
        <f t="shared" si="913"/>
        <v>0</v>
      </c>
      <c r="DX196" s="46"/>
      <c r="DY196" s="21">
        <f t="shared" si="914"/>
        <v>0</v>
      </c>
      <c r="DZ196" s="19">
        <f t="shared" si="915"/>
        <v>0</v>
      </c>
      <c r="EA196" s="19">
        <f t="shared" si="916"/>
        <v>0</v>
      </c>
      <c r="EB196" s="19"/>
      <c r="EC196" s="48">
        <f t="shared" si="879"/>
        <v>0</v>
      </c>
      <c r="ED196" s="48">
        <f t="shared" si="880"/>
        <v>0</v>
      </c>
      <c r="EE196" s="22"/>
      <c r="EF196" s="22"/>
      <c r="EG196" s="22">
        <f t="shared" si="917"/>
        <v>0</v>
      </c>
      <c r="EH196" s="22"/>
      <c r="EI196" s="22"/>
      <c r="EJ196" s="22">
        <f t="shared" si="918"/>
        <v>0</v>
      </c>
      <c r="EK196" s="40"/>
      <c r="EL196" s="19">
        <v>0</v>
      </c>
      <c r="EM196" s="19"/>
      <c r="EN196" s="40">
        <f t="shared" si="891"/>
        <v>0</v>
      </c>
      <c r="EO196" s="40">
        <f t="shared" si="892"/>
        <v>0</v>
      </c>
      <c r="EP196" s="40"/>
      <c r="EQ196" s="21">
        <f t="shared" si="888"/>
        <v>0</v>
      </c>
      <c r="ER196" s="21"/>
      <c r="ES196" s="21">
        <f t="shared" si="881"/>
        <v>0</v>
      </c>
      <c r="ET196" s="21"/>
      <c r="EU196" s="19">
        <f t="shared" si="893"/>
        <v>0</v>
      </c>
      <c r="EV196" s="21"/>
      <c r="EW196" s="39"/>
      <c r="EX196" s="39">
        <f t="shared" si="882"/>
        <v>0</v>
      </c>
      <c r="EY196" s="39">
        <f t="shared" si="867"/>
        <v>0</v>
      </c>
      <c r="EZ196" s="39"/>
      <c r="FA196" s="39"/>
      <c r="FB196" s="39"/>
      <c r="FC196" s="39"/>
      <c r="FD196" s="39"/>
      <c r="FE196" s="166"/>
      <c r="FF196" s="39"/>
      <c r="FG196" s="39"/>
      <c r="FH196" s="39"/>
      <c r="FI196" s="39"/>
      <c r="FJ196" s="19">
        <f t="shared" si="894"/>
        <v>0</v>
      </c>
      <c r="FK196" s="19">
        <f t="shared" si="895"/>
        <v>0</v>
      </c>
      <c r="FL196" s="19">
        <f t="shared" si="896"/>
        <v>0</v>
      </c>
      <c r="FM196" s="19"/>
      <c r="FN196" s="19"/>
      <c r="FO196" s="22"/>
      <c r="FP196" s="22"/>
      <c r="FQ196" s="22"/>
      <c r="FR196" s="22"/>
      <c r="FS196" s="22"/>
      <c r="FT196" s="22"/>
      <c r="FU196" s="40"/>
      <c r="FV196" s="19"/>
      <c r="FW196" s="19"/>
      <c r="FX196" s="19"/>
      <c r="FY196" s="19"/>
      <c r="FZ196" s="19"/>
      <c r="GA196" s="19"/>
      <c r="GB196" s="19"/>
      <c r="GC196" s="20"/>
      <c r="GD196" s="20"/>
      <c r="GE196" s="21"/>
      <c r="GF196" s="21"/>
      <c r="GG196" s="21"/>
      <c r="GH196" s="21"/>
      <c r="GI196" s="21"/>
      <c r="GJ196" s="21"/>
      <c r="GK196" s="21"/>
      <c r="GL196" s="21"/>
      <c r="GM196" s="19"/>
      <c r="GN196" s="19"/>
      <c r="GO196" s="22"/>
      <c r="GP196" s="22"/>
      <c r="GQ196" s="22"/>
      <c r="GR196" s="22"/>
      <c r="GS196" s="22"/>
      <c r="GT196" s="22"/>
      <c r="GU196" s="43"/>
      <c r="GV196" s="19"/>
      <c r="GW196" s="19"/>
      <c r="GX196" s="19"/>
      <c r="GY196" s="19"/>
      <c r="GZ196" s="23"/>
      <c r="HA196" s="22"/>
      <c r="HB196" s="22"/>
      <c r="HC196" s="22"/>
      <c r="HD196" s="22"/>
      <c r="HE196" s="22"/>
      <c r="HF196" s="22"/>
      <c r="HG196" s="233"/>
    </row>
    <row r="197" spans="2:215" ht="15.75">
      <c r="B197" s="10"/>
      <c r="C197" s="161" t="s">
        <v>153</v>
      </c>
      <c r="D197" s="143">
        <f>+'[2]2012(объемы годовые)'!I207</f>
        <v>574.39</v>
      </c>
      <c r="E197" s="46"/>
      <c r="F197" s="46"/>
      <c r="G197" s="46"/>
      <c r="H197" s="46"/>
      <c r="I197" s="143">
        <f>+'[2]2012(объемы годовые)'!Q207+'[2]2012(объемы годовые)'!U207+'[2]2012(объемы годовые)'!Y207</f>
        <v>574.39</v>
      </c>
      <c r="J197" s="74">
        <f>+I197*$J$3</f>
        <v>317.40791400000001</v>
      </c>
      <c r="K197" s="74">
        <f>+I197*$K$3</f>
        <v>85.641548999999998</v>
      </c>
      <c r="L197" s="74">
        <f>+I197*$L$3</f>
        <v>171.34053700000001</v>
      </c>
      <c r="M197" s="46">
        <f>+'[5]тарифы (НВВ) население на 12%'!$M$252</f>
        <v>574.39</v>
      </c>
      <c r="N197" s="46">
        <f t="shared" si="920"/>
        <v>0</v>
      </c>
      <c r="O197" s="46"/>
      <c r="P197" s="46"/>
      <c r="Q197" s="46"/>
      <c r="R197" s="46">
        <f t="shared" si="921"/>
        <v>574.39</v>
      </c>
      <c r="S197" s="74">
        <v>338.66034400000001</v>
      </c>
      <c r="T197" s="74"/>
      <c r="U197" s="74">
        <v>235.72965599999998</v>
      </c>
      <c r="V197" s="22">
        <v>1274</v>
      </c>
      <c r="W197" s="22">
        <v>1274</v>
      </c>
      <c r="X197" s="52">
        <f t="shared" si="870"/>
        <v>100</v>
      </c>
      <c r="Y197" s="52">
        <v>1349.16</v>
      </c>
      <c r="Z197" s="22">
        <f t="shared" si="852"/>
        <v>105.89952904238619</v>
      </c>
      <c r="AA197" s="52">
        <v>1413.93</v>
      </c>
      <c r="AB197" s="22">
        <f t="shared" si="853"/>
        <v>104.80076492039491</v>
      </c>
      <c r="AC197" s="52">
        <v>1413.93</v>
      </c>
      <c r="AD197" s="52">
        <v>1413.93</v>
      </c>
      <c r="AE197" s="22">
        <f t="shared" si="922"/>
        <v>111.6993061891324</v>
      </c>
      <c r="AF197" s="22">
        <v>1579.35</v>
      </c>
      <c r="AG197" s="22">
        <f t="shared" si="889"/>
        <v>111.6993061891324</v>
      </c>
      <c r="AH197" s="52"/>
      <c r="AI197" s="52"/>
      <c r="AJ197" s="52">
        <f t="shared" si="854"/>
        <v>0</v>
      </c>
      <c r="AK197" s="52"/>
      <c r="AL197" s="22">
        <f t="shared" si="855"/>
        <v>0</v>
      </c>
      <c r="AM197" s="52"/>
      <c r="AN197" s="22">
        <f t="shared" si="856"/>
        <v>0</v>
      </c>
      <c r="AO197" s="22">
        <f t="shared" si="871"/>
        <v>110.9835164835165</v>
      </c>
      <c r="AP197" s="22">
        <f t="shared" si="857"/>
        <v>0</v>
      </c>
      <c r="AQ197" s="22"/>
      <c r="AR197" s="22"/>
      <c r="AS197" s="22">
        <f t="shared" si="923"/>
        <v>0</v>
      </c>
      <c r="AT197" s="22"/>
      <c r="AU197" s="22">
        <f t="shared" si="890"/>
        <v>0</v>
      </c>
      <c r="AV197" s="77"/>
      <c r="AW197" s="77">
        <f t="shared" si="897"/>
        <v>0</v>
      </c>
      <c r="AX197" s="78" t="s">
        <v>344</v>
      </c>
      <c r="AY197" s="22">
        <f t="shared" si="898"/>
        <v>0.61699999999999999</v>
      </c>
      <c r="AZ197" s="22"/>
      <c r="BA197" s="22">
        <v>0.25</v>
      </c>
      <c r="BB197" s="22">
        <f>+[8]БПр!$BO$1042/1000</f>
        <v>0.36700000000000005</v>
      </c>
      <c r="BC197" s="22">
        <v>1579.35</v>
      </c>
      <c r="BD197" s="22">
        <v>1645.68</v>
      </c>
      <c r="BE197" s="22">
        <f t="shared" ref="BE197:BE239" si="924">+IF(BC197=0,,BD197/BC197*100)</f>
        <v>104.19982904359388</v>
      </c>
      <c r="BF197" s="22"/>
      <c r="BG197" s="22"/>
      <c r="BH197" s="22">
        <f t="shared" ref="BH197:BH239" si="925">+IF(BF197=0,,BG197/BF197*100)</f>
        <v>0</v>
      </c>
      <c r="BI197" s="22"/>
      <c r="BJ197" s="40" t="s">
        <v>345</v>
      </c>
      <c r="BK197" s="19">
        <f t="shared" si="812"/>
        <v>731.77286000000004</v>
      </c>
      <c r="BL197" s="19">
        <f t="shared" si="858"/>
        <v>0</v>
      </c>
      <c r="BM197" s="19">
        <f t="shared" si="859"/>
        <v>0</v>
      </c>
      <c r="BN197" s="19">
        <f t="shared" si="860"/>
        <v>731.77286000000004</v>
      </c>
      <c r="BO197" s="19">
        <f t="shared" si="813"/>
        <v>774.94401240000002</v>
      </c>
      <c r="BP197" s="19">
        <f t="shared" si="861"/>
        <v>0</v>
      </c>
      <c r="BQ197" s="19">
        <f t="shared" si="872"/>
        <v>0</v>
      </c>
      <c r="BR197" s="19">
        <f t="shared" si="862"/>
        <v>774.94401240000002</v>
      </c>
      <c r="BS197" s="19">
        <f t="shared" si="815"/>
        <v>812.14725270000008</v>
      </c>
      <c r="BT197" s="19">
        <f t="shared" si="863"/>
        <v>0</v>
      </c>
      <c r="BU197" s="19">
        <f t="shared" si="873"/>
        <v>0</v>
      </c>
      <c r="BV197" s="19">
        <f t="shared" si="864"/>
        <v>812.14725270000008</v>
      </c>
      <c r="BW197" s="19">
        <f t="shared" si="899"/>
        <v>812.14725270000008</v>
      </c>
      <c r="BX197" s="19">
        <f t="shared" si="900"/>
        <v>0</v>
      </c>
      <c r="BY197" s="19">
        <f t="shared" si="901"/>
        <v>0</v>
      </c>
      <c r="BZ197" s="19">
        <f t="shared" si="902"/>
        <v>812.14725270000008</v>
      </c>
      <c r="CA197" s="19">
        <f t="shared" si="903"/>
        <v>907.16284649999989</v>
      </c>
      <c r="CB197" s="19">
        <f t="shared" si="904"/>
        <v>0</v>
      </c>
      <c r="CC197" s="19">
        <f t="shared" si="905"/>
        <v>0</v>
      </c>
      <c r="CD197" s="19">
        <f t="shared" si="906"/>
        <v>907.16284649999989</v>
      </c>
      <c r="CE197" s="48">
        <f t="shared" si="822"/>
        <v>1274</v>
      </c>
      <c r="CF197" s="48">
        <f t="shared" si="823"/>
        <v>1349.16</v>
      </c>
      <c r="CG197" s="48">
        <f t="shared" si="824"/>
        <v>1413.93</v>
      </c>
      <c r="CH197" s="48">
        <f t="shared" si="825"/>
        <v>0</v>
      </c>
      <c r="CI197" s="48">
        <f t="shared" si="826"/>
        <v>0</v>
      </c>
      <c r="CJ197" s="48">
        <f t="shared" si="827"/>
        <v>0</v>
      </c>
      <c r="CK197" s="48">
        <f t="shared" si="828"/>
        <v>1274</v>
      </c>
      <c r="CL197" s="48">
        <f t="shared" si="829"/>
        <v>1349.16</v>
      </c>
      <c r="CM197" s="48">
        <f t="shared" si="830"/>
        <v>1413.93</v>
      </c>
      <c r="CN197" s="48">
        <f t="shared" si="831"/>
        <v>1345.6966666666665</v>
      </c>
      <c r="CO197" s="48">
        <f t="shared" si="832"/>
        <v>1413.93</v>
      </c>
      <c r="CP197" s="48">
        <f t="shared" si="833"/>
        <v>1579.35</v>
      </c>
      <c r="CQ197" s="48">
        <f t="shared" si="834"/>
        <v>0</v>
      </c>
      <c r="CR197" s="48">
        <f t="shared" si="835"/>
        <v>0</v>
      </c>
      <c r="CS197" s="48">
        <f t="shared" si="836"/>
        <v>1413.93</v>
      </c>
      <c r="CT197" s="48">
        <f t="shared" si="837"/>
        <v>1579.35</v>
      </c>
      <c r="CU197" s="48">
        <f t="shared" si="838"/>
        <v>1496.6399999999999</v>
      </c>
      <c r="CV197" s="48">
        <f t="shared" si="839"/>
        <v>111.21674275282444</v>
      </c>
      <c r="CW197" s="19">
        <f t="shared" si="907"/>
        <v>0</v>
      </c>
      <c r="CX197" s="19">
        <f t="shared" si="908"/>
        <v>0</v>
      </c>
      <c r="CY197" s="19">
        <f t="shared" si="909"/>
        <v>0</v>
      </c>
      <c r="CZ197" s="19">
        <f t="shared" si="910"/>
        <v>0</v>
      </c>
      <c r="DA197" s="21">
        <f t="shared" si="844"/>
        <v>0</v>
      </c>
      <c r="DB197" s="21">
        <f t="shared" si="845"/>
        <v>0</v>
      </c>
      <c r="DC197" s="79">
        <f t="shared" si="846"/>
        <v>0</v>
      </c>
      <c r="DD197" s="79">
        <f t="shared" si="846"/>
        <v>0</v>
      </c>
      <c r="DE197" s="79">
        <f t="shared" si="911"/>
        <v>478.84202019192003</v>
      </c>
      <c r="DF197" s="79">
        <f t="shared" si="911"/>
        <v>0</v>
      </c>
      <c r="DG197" s="79">
        <f t="shared" si="874"/>
        <v>372.29963220359997</v>
      </c>
      <c r="DH197" s="51">
        <f t="shared" si="848"/>
        <v>851.14165239551994</v>
      </c>
      <c r="DI197" s="39"/>
      <c r="DJ197" s="80">
        <f t="shared" si="849"/>
        <v>404.37768243600004</v>
      </c>
      <c r="DK197" s="39">
        <f t="shared" si="850"/>
        <v>115.54415224884001</v>
      </c>
      <c r="DL197" s="39">
        <f t="shared" si="851"/>
        <v>242.26352548041004</v>
      </c>
      <c r="DM197" s="48">
        <f>+AT197-'[2]тарифы (12-13) население 15%'!AP242</f>
        <v>0</v>
      </c>
      <c r="DN197" s="39"/>
      <c r="DO197" s="39"/>
      <c r="DP197" s="39"/>
      <c r="DQ197" s="39"/>
      <c r="DR197" s="39"/>
      <c r="DS197" s="39"/>
      <c r="DT197" s="39"/>
      <c r="DU197" s="19">
        <f t="shared" ref="DU197:DU239" si="926">+(BF197*AZ197)/1.18</f>
        <v>0</v>
      </c>
      <c r="DV197" s="40">
        <f t="shared" si="912"/>
        <v>0</v>
      </c>
      <c r="DW197" s="40">
        <f t="shared" si="913"/>
        <v>0</v>
      </c>
      <c r="DX197" s="46"/>
      <c r="DY197" s="21">
        <f t="shared" si="914"/>
        <v>0</v>
      </c>
      <c r="DZ197" s="19">
        <f t="shared" si="915"/>
        <v>0.97445894999999993</v>
      </c>
      <c r="EA197" s="19">
        <f t="shared" si="916"/>
        <v>1.01538456</v>
      </c>
      <c r="EB197" s="19"/>
      <c r="EC197" s="48">
        <f t="shared" si="879"/>
        <v>0</v>
      </c>
      <c r="ED197" s="48">
        <f t="shared" si="880"/>
        <v>0</v>
      </c>
      <c r="EE197" s="22">
        <v>1645.51</v>
      </c>
      <c r="EF197" s="22">
        <v>1779.79</v>
      </c>
      <c r="EG197" s="22">
        <f t="shared" si="917"/>
        <v>108.1603879648255</v>
      </c>
      <c r="EH197" s="22"/>
      <c r="EI197" s="22"/>
      <c r="EJ197" s="22">
        <f t="shared" si="918"/>
        <v>0</v>
      </c>
      <c r="EK197" s="40" t="s">
        <v>346</v>
      </c>
      <c r="EL197" s="19">
        <v>0.61699999999999999</v>
      </c>
      <c r="EM197" s="19"/>
      <c r="EN197" s="40">
        <f t="shared" si="891"/>
        <v>0</v>
      </c>
      <c r="EO197" s="40">
        <f t="shared" si="892"/>
        <v>0</v>
      </c>
      <c r="EP197" s="40"/>
      <c r="EQ197" s="21">
        <f t="shared" si="888"/>
        <v>0</v>
      </c>
      <c r="ER197" s="21"/>
      <c r="ES197" s="21">
        <f t="shared" si="881"/>
        <v>1015.27967</v>
      </c>
      <c r="ET197" s="21"/>
      <c r="EU197" s="19">
        <f t="shared" si="893"/>
        <v>1098.1304299999999</v>
      </c>
      <c r="EV197" s="21"/>
      <c r="EW197" s="39"/>
      <c r="EX197" s="39">
        <f t="shared" si="882"/>
        <v>1015.3845600000001</v>
      </c>
      <c r="EY197" s="39">
        <f t="shared" si="867"/>
        <v>1098.1304299999999</v>
      </c>
      <c r="EZ197" s="39"/>
      <c r="FA197" s="39"/>
      <c r="FB197" s="39"/>
      <c r="FC197" s="39"/>
      <c r="FD197" s="39"/>
      <c r="FE197" s="39"/>
      <c r="FF197" s="39"/>
      <c r="FG197" s="39"/>
      <c r="FH197" s="39"/>
      <c r="FI197" s="39"/>
      <c r="FJ197" s="19">
        <f t="shared" si="894"/>
        <v>0</v>
      </c>
      <c r="FK197" s="19">
        <f t="shared" si="895"/>
        <v>0</v>
      </c>
      <c r="FL197" s="19">
        <f t="shared" si="896"/>
        <v>0</v>
      </c>
      <c r="FM197" s="19">
        <v>0.61699999999999999</v>
      </c>
      <c r="FN197" s="19"/>
      <c r="FO197" s="22">
        <v>2189.41</v>
      </c>
      <c r="FP197" s="22">
        <v>2245.09</v>
      </c>
      <c r="FQ197" s="22"/>
      <c r="FR197" s="22" t="s">
        <v>633</v>
      </c>
      <c r="FS197" s="22" t="s">
        <v>633</v>
      </c>
      <c r="FT197" s="22"/>
      <c r="FU197" s="40" t="s">
        <v>677</v>
      </c>
      <c r="FV197" s="19"/>
      <c r="FW197" s="19"/>
      <c r="FX197" s="19"/>
      <c r="FY197" s="19"/>
      <c r="FZ197" s="19"/>
      <c r="GA197" s="19"/>
      <c r="GB197" s="19"/>
      <c r="GC197" s="20"/>
      <c r="GD197" s="20"/>
      <c r="GE197" s="21"/>
      <c r="GF197" s="21"/>
      <c r="GG197" s="21"/>
      <c r="GH197" s="21"/>
      <c r="GI197" s="21"/>
      <c r="GJ197" s="21"/>
      <c r="GK197" s="21"/>
      <c r="GL197" s="21"/>
      <c r="GM197" s="19"/>
      <c r="GN197" s="19"/>
      <c r="GO197" s="22">
        <v>2361.39</v>
      </c>
      <c r="GP197" s="22">
        <v>2505.13</v>
      </c>
      <c r="GQ197" s="22"/>
      <c r="GR197" s="22" t="s">
        <v>633</v>
      </c>
      <c r="GS197" s="22" t="s">
        <v>633</v>
      </c>
      <c r="GT197" s="22"/>
      <c r="GU197" s="40" t="s">
        <v>677</v>
      </c>
      <c r="GV197" s="19"/>
      <c r="GW197" s="19"/>
      <c r="GX197" s="19"/>
      <c r="GY197" s="19"/>
      <c r="GZ197" s="23"/>
      <c r="HA197" s="22" t="s">
        <v>633</v>
      </c>
      <c r="HB197" s="22" t="s">
        <v>633</v>
      </c>
      <c r="HC197" s="22"/>
      <c r="HD197" s="22" t="s">
        <v>633</v>
      </c>
      <c r="HE197" s="22" t="s">
        <v>633</v>
      </c>
      <c r="HF197" s="22"/>
      <c r="HG197" s="233" t="s">
        <v>633</v>
      </c>
    </row>
    <row r="198" spans="2:215" ht="15.75">
      <c r="B198" s="10" t="s">
        <v>347</v>
      </c>
      <c r="C198" s="81" t="s">
        <v>348</v>
      </c>
      <c r="D198" s="46"/>
      <c r="E198" s="46"/>
      <c r="F198" s="46"/>
      <c r="G198" s="46"/>
      <c r="H198" s="46"/>
      <c r="I198" s="46"/>
      <c r="J198" s="46"/>
      <c r="K198" s="46"/>
      <c r="L198" s="46"/>
      <c r="M198" s="46">
        <f t="shared" si="919"/>
        <v>0</v>
      </c>
      <c r="N198" s="46">
        <f t="shared" si="920"/>
        <v>0</v>
      </c>
      <c r="O198" s="46"/>
      <c r="P198" s="46"/>
      <c r="Q198" s="46"/>
      <c r="R198" s="46">
        <f t="shared" si="921"/>
        <v>0</v>
      </c>
      <c r="S198" s="46"/>
      <c r="T198" s="46"/>
      <c r="U198" s="46"/>
      <c r="V198" s="52"/>
      <c r="W198" s="52"/>
      <c r="X198" s="52">
        <f t="shared" si="870"/>
        <v>0</v>
      </c>
      <c r="Y198" s="141"/>
      <c r="Z198" s="22">
        <f t="shared" si="852"/>
        <v>0</v>
      </c>
      <c r="AA198" s="52"/>
      <c r="AB198" s="22">
        <f t="shared" si="853"/>
        <v>0</v>
      </c>
      <c r="AC198" s="22"/>
      <c r="AD198" s="22"/>
      <c r="AE198" s="22">
        <f t="shared" si="922"/>
        <v>0</v>
      </c>
      <c r="AF198" s="22"/>
      <c r="AG198" s="22">
        <f t="shared" si="889"/>
        <v>0</v>
      </c>
      <c r="AH198" s="22"/>
      <c r="AI198" s="22"/>
      <c r="AJ198" s="52">
        <f t="shared" si="854"/>
        <v>0</v>
      </c>
      <c r="AK198" s="141"/>
      <c r="AL198" s="22">
        <f t="shared" si="855"/>
        <v>0</v>
      </c>
      <c r="AM198" s="52"/>
      <c r="AN198" s="22">
        <f t="shared" si="856"/>
        <v>0</v>
      </c>
      <c r="AO198" s="22">
        <f t="shared" si="871"/>
        <v>0</v>
      </c>
      <c r="AP198" s="22">
        <f t="shared" si="857"/>
        <v>0</v>
      </c>
      <c r="AQ198" s="22"/>
      <c r="AR198" s="22"/>
      <c r="AS198" s="22">
        <f t="shared" si="923"/>
        <v>0</v>
      </c>
      <c r="AT198" s="22"/>
      <c r="AU198" s="22">
        <f t="shared" si="890"/>
        <v>0</v>
      </c>
      <c r="AV198" s="77"/>
      <c r="AW198" s="77">
        <f t="shared" si="897"/>
        <v>0</v>
      </c>
      <c r="AX198" s="78"/>
      <c r="AY198" s="22">
        <f t="shared" si="898"/>
        <v>0</v>
      </c>
      <c r="AZ198" s="22"/>
      <c r="BA198" s="22"/>
      <c r="BB198" s="22"/>
      <c r="BC198" s="22"/>
      <c r="BD198" s="22"/>
      <c r="BE198" s="22">
        <f t="shared" si="924"/>
        <v>0</v>
      </c>
      <c r="BF198" s="22"/>
      <c r="BG198" s="22"/>
      <c r="BH198" s="22">
        <f t="shared" si="925"/>
        <v>0</v>
      </c>
      <c r="BI198" s="22"/>
      <c r="BJ198" s="40"/>
      <c r="BK198" s="19">
        <f t="shared" si="812"/>
        <v>0</v>
      </c>
      <c r="BL198" s="19">
        <f t="shared" si="858"/>
        <v>0</v>
      </c>
      <c r="BM198" s="19">
        <f t="shared" si="859"/>
        <v>0</v>
      </c>
      <c r="BN198" s="19">
        <f t="shared" si="860"/>
        <v>0</v>
      </c>
      <c r="BO198" s="19">
        <f t="shared" si="813"/>
        <v>0</v>
      </c>
      <c r="BP198" s="19">
        <f t="shared" si="861"/>
        <v>0</v>
      </c>
      <c r="BQ198" s="19">
        <f t="shared" si="872"/>
        <v>0</v>
      </c>
      <c r="BR198" s="19">
        <f t="shared" si="862"/>
        <v>0</v>
      </c>
      <c r="BS198" s="19">
        <f t="shared" si="815"/>
        <v>0</v>
      </c>
      <c r="BT198" s="19">
        <f t="shared" si="863"/>
        <v>0</v>
      </c>
      <c r="BU198" s="19">
        <f t="shared" si="873"/>
        <v>0</v>
      </c>
      <c r="BV198" s="19">
        <f t="shared" si="864"/>
        <v>0</v>
      </c>
      <c r="BW198" s="19">
        <f t="shared" si="899"/>
        <v>0</v>
      </c>
      <c r="BX198" s="19">
        <f t="shared" si="900"/>
        <v>0</v>
      </c>
      <c r="BY198" s="19">
        <f t="shared" si="901"/>
        <v>0</v>
      </c>
      <c r="BZ198" s="19">
        <f t="shared" si="902"/>
        <v>0</v>
      </c>
      <c r="CA198" s="19">
        <f t="shared" si="903"/>
        <v>0</v>
      </c>
      <c r="CB198" s="19">
        <f t="shared" si="904"/>
        <v>0</v>
      </c>
      <c r="CC198" s="19">
        <f t="shared" si="905"/>
        <v>0</v>
      </c>
      <c r="CD198" s="19">
        <f t="shared" si="906"/>
        <v>0</v>
      </c>
      <c r="CE198" s="48">
        <f t="shared" si="822"/>
        <v>0</v>
      </c>
      <c r="CF198" s="48">
        <f t="shared" si="823"/>
        <v>0</v>
      </c>
      <c r="CG198" s="48">
        <f t="shared" si="824"/>
        <v>0</v>
      </c>
      <c r="CH198" s="48">
        <f t="shared" si="825"/>
        <v>0</v>
      </c>
      <c r="CI198" s="48">
        <f t="shared" si="826"/>
        <v>0</v>
      </c>
      <c r="CJ198" s="48">
        <f t="shared" si="827"/>
        <v>0</v>
      </c>
      <c r="CK198" s="48">
        <f t="shared" si="828"/>
        <v>0</v>
      </c>
      <c r="CL198" s="48">
        <f t="shared" si="829"/>
        <v>0</v>
      </c>
      <c r="CM198" s="48">
        <f t="shared" si="830"/>
        <v>0</v>
      </c>
      <c r="CN198" s="48">
        <f t="shared" si="831"/>
        <v>0</v>
      </c>
      <c r="CO198" s="48">
        <f t="shared" si="832"/>
        <v>0</v>
      </c>
      <c r="CP198" s="48">
        <f t="shared" si="833"/>
        <v>0</v>
      </c>
      <c r="CQ198" s="48">
        <f t="shared" si="834"/>
        <v>0</v>
      </c>
      <c r="CR198" s="48">
        <f t="shared" si="835"/>
        <v>0</v>
      </c>
      <c r="CS198" s="48">
        <f t="shared" si="836"/>
        <v>0</v>
      </c>
      <c r="CT198" s="48">
        <f t="shared" si="837"/>
        <v>0</v>
      </c>
      <c r="CU198" s="48">
        <f t="shared" si="838"/>
        <v>0</v>
      </c>
      <c r="CV198" s="48">
        <f t="shared" si="839"/>
        <v>0</v>
      </c>
      <c r="CW198" s="19">
        <f t="shared" si="907"/>
        <v>0</v>
      </c>
      <c r="CX198" s="19">
        <f t="shared" si="908"/>
        <v>0</v>
      </c>
      <c r="CY198" s="19">
        <f t="shared" si="909"/>
        <v>0</v>
      </c>
      <c r="CZ198" s="19">
        <f t="shared" si="910"/>
        <v>0</v>
      </c>
      <c r="DA198" s="21">
        <f t="shared" si="844"/>
        <v>0</v>
      </c>
      <c r="DB198" s="21">
        <f t="shared" si="845"/>
        <v>0</v>
      </c>
      <c r="DC198" s="79">
        <f t="shared" si="846"/>
        <v>0</v>
      </c>
      <c r="DD198" s="79">
        <f t="shared" si="846"/>
        <v>0</v>
      </c>
      <c r="DE198" s="79">
        <f t="shared" si="911"/>
        <v>0</v>
      </c>
      <c r="DF198" s="79">
        <f t="shared" si="911"/>
        <v>0</v>
      </c>
      <c r="DG198" s="79">
        <f t="shared" si="874"/>
        <v>0</v>
      </c>
      <c r="DH198" s="51">
        <f t="shared" si="848"/>
        <v>0</v>
      </c>
      <c r="DI198" s="39"/>
      <c r="DJ198" s="80">
        <f t="shared" si="849"/>
        <v>0</v>
      </c>
      <c r="DK198" s="39">
        <f t="shared" si="850"/>
        <v>0</v>
      </c>
      <c r="DL198" s="39">
        <f t="shared" si="851"/>
        <v>0</v>
      </c>
      <c r="DM198" s="48">
        <f>+AT198-'[2]тарифы (12-13) население 15%'!AP245</f>
        <v>0</v>
      </c>
      <c r="DN198" s="39"/>
      <c r="DO198" s="39"/>
      <c r="DP198" s="39"/>
      <c r="DQ198" s="39"/>
      <c r="DR198" s="39"/>
      <c r="DS198" s="39"/>
      <c r="DT198" s="39"/>
      <c r="DU198" s="19">
        <f t="shared" si="926"/>
        <v>0</v>
      </c>
      <c r="DV198" s="40">
        <f t="shared" si="912"/>
        <v>0</v>
      </c>
      <c r="DW198" s="40">
        <f t="shared" si="913"/>
        <v>0</v>
      </c>
      <c r="DX198" s="46"/>
      <c r="DY198" s="21">
        <f t="shared" si="914"/>
        <v>0</v>
      </c>
      <c r="DZ198" s="19">
        <f t="shared" si="915"/>
        <v>0</v>
      </c>
      <c r="EA198" s="19">
        <f t="shared" si="916"/>
        <v>0</v>
      </c>
      <c r="EB198" s="19"/>
      <c r="EC198" s="48">
        <f t="shared" si="879"/>
        <v>0</v>
      </c>
      <c r="ED198" s="48">
        <f t="shared" si="880"/>
        <v>0</v>
      </c>
      <c r="EE198" s="22"/>
      <c r="EF198" s="22"/>
      <c r="EG198" s="22">
        <f t="shared" si="917"/>
        <v>0</v>
      </c>
      <c r="EH198" s="22"/>
      <c r="EI198" s="22"/>
      <c r="EJ198" s="22">
        <f t="shared" si="918"/>
        <v>0</v>
      </c>
      <c r="EK198" s="40"/>
      <c r="EL198" s="19"/>
      <c r="EM198" s="19"/>
      <c r="EN198" s="40">
        <f t="shared" si="891"/>
        <v>0</v>
      </c>
      <c r="EO198" s="40">
        <f t="shared" si="892"/>
        <v>0</v>
      </c>
      <c r="EP198" s="40"/>
      <c r="EQ198" s="21">
        <f t="shared" si="888"/>
        <v>0</v>
      </c>
      <c r="ER198" s="21"/>
      <c r="ES198" s="21">
        <f t="shared" si="881"/>
        <v>0</v>
      </c>
      <c r="ET198" s="21"/>
      <c r="EU198" s="19">
        <f t="shared" si="893"/>
        <v>0</v>
      </c>
      <c r="EV198" s="21"/>
      <c r="EW198" s="39"/>
      <c r="EX198" s="39">
        <f t="shared" si="882"/>
        <v>0</v>
      </c>
      <c r="EY198" s="39">
        <f t="shared" si="867"/>
        <v>0</v>
      </c>
      <c r="EZ198" s="39"/>
      <c r="FA198" s="39"/>
      <c r="FB198" s="39"/>
      <c r="FC198" s="39"/>
      <c r="FD198" s="39"/>
      <c r="FE198" s="39"/>
      <c r="FF198" s="39"/>
      <c r="FG198" s="39"/>
      <c r="FH198" s="39"/>
      <c r="FI198" s="39"/>
      <c r="FJ198" s="19">
        <f t="shared" si="894"/>
        <v>0</v>
      </c>
      <c r="FK198" s="19">
        <f t="shared" si="895"/>
        <v>0</v>
      </c>
      <c r="FL198" s="19">
        <f t="shared" si="896"/>
        <v>0</v>
      </c>
      <c r="FM198" s="19"/>
      <c r="FN198" s="19"/>
      <c r="FO198" s="22"/>
      <c r="FP198" s="22"/>
      <c r="FQ198" s="22"/>
      <c r="FR198" s="22"/>
      <c r="FS198" s="22"/>
      <c r="FT198" s="22"/>
      <c r="FU198" s="40"/>
      <c r="FV198" s="19"/>
      <c r="FW198" s="19"/>
      <c r="FX198" s="19"/>
      <c r="FY198" s="19"/>
      <c r="FZ198" s="19"/>
      <c r="GA198" s="19"/>
      <c r="GB198" s="19"/>
      <c r="GC198" s="20"/>
      <c r="GD198" s="20"/>
      <c r="GE198" s="21"/>
      <c r="GF198" s="21"/>
      <c r="GG198" s="21"/>
      <c r="GH198" s="21"/>
      <c r="GI198" s="21"/>
      <c r="GJ198" s="21"/>
      <c r="GK198" s="21"/>
      <c r="GL198" s="21"/>
      <c r="GM198" s="19"/>
      <c r="GN198" s="19"/>
      <c r="GO198" s="22"/>
      <c r="GP198" s="22"/>
      <c r="GQ198" s="22"/>
      <c r="GR198" s="22"/>
      <c r="GS198" s="22"/>
      <c r="GT198" s="22"/>
      <c r="GU198" s="43"/>
      <c r="GV198" s="19"/>
      <c r="GW198" s="19"/>
      <c r="GX198" s="19"/>
      <c r="GY198" s="19"/>
      <c r="GZ198" s="23"/>
      <c r="HA198" s="22"/>
      <c r="HB198" s="22"/>
      <c r="HC198" s="22"/>
      <c r="HD198" s="22"/>
      <c r="HE198" s="22"/>
      <c r="HF198" s="22"/>
      <c r="HG198" s="233"/>
    </row>
    <row r="199" spans="2:215" ht="15.75">
      <c r="B199" s="10"/>
      <c r="C199" s="161" t="s">
        <v>204</v>
      </c>
      <c r="D199" s="46"/>
      <c r="E199" s="46"/>
      <c r="F199" s="46"/>
      <c r="G199" s="46"/>
      <c r="H199" s="46"/>
      <c r="I199" s="46"/>
      <c r="J199" s="46"/>
      <c r="K199" s="46"/>
      <c r="L199" s="46"/>
      <c r="M199" s="46">
        <v>884</v>
      </c>
      <c r="N199" s="46">
        <f t="shared" si="920"/>
        <v>0</v>
      </c>
      <c r="O199" s="46"/>
      <c r="P199" s="46"/>
      <c r="Q199" s="46"/>
      <c r="R199" s="46">
        <f t="shared" si="921"/>
        <v>0</v>
      </c>
      <c r="S199" s="46"/>
      <c r="T199" s="46"/>
      <c r="U199" s="46"/>
      <c r="V199" s="52"/>
      <c r="W199" s="52">
        <v>880.34</v>
      </c>
      <c r="X199" s="52">
        <f t="shared" si="870"/>
        <v>0</v>
      </c>
      <c r="Y199" s="141">
        <v>932.28</v>
      </c>
      <c r="Z199" s="22">
        <f t="shared" si="852"/>
        <v>105.89999318445145</v>
      </c>
      <c r="AA199" s="52">
        <v>977.03</v>
      </c>
      <c r="AB199" s="22">
        <f t="shared" si="853"/>
        <v>104.8000600677908</v>
      </c>
      <c r="AC199" s="52">
        <v>977.03</v>
      </c>
      <c r="AD199" s="52">
        <v>977.03</v>
      </c>
      <c r="AE199" s="22">
        <f t="shared" si="922"/>
        <v>111.03036754245008</v>
      </c>
      <c r="AF199" s="22">
        <v>1084.8</v>
      </c>
      <c r="AG199" s="22">
        <f t="shared" si="889"/>
        <v>111.03036754245008</v>
      </c>
      <c r="AH199" s="22"/>
      <c r="AI199" s="22"/>
      <c r="AJ199" s="52">
        <f t="shared" si="854"/>
        <v>0</v>
      </c>
      <c r="AK199" s="141"/>
      <c r="AL199" s="22">
        <f t="shared" si="855"/>
        <v>0</v>
      </c>
      <c r="AM199" s="52"/>
      <c r="AN199" s="22">
        <f t="shared" si="856"/>
        <v>0</v>
      </c>
      <c r="AO199" s="22">
        <f t="shared" si="871"/>
        <v>0</v>
      </c>
      <c r="AP199" s="22">
        <f t="shared" si="857"/>
        <v>0</v>
      </c>
      <c r="AQ199" s="22"/>
      <c r="AR199" s="22"/>
      <c r="AS199" s="22">
        <f t="shared" si="923"/>
        <v>0</v>
      </c>
      <c r="AT199" s="22"/>
      <c r="AU199" s="22">
        <f t="shared" si="890"/>
        <v>0</v>
      </c>
      <c r="AV199" s="77"/>
      <c r="AW199" s="77">
        <f t="shared" si="897"/>
        <v>0</v>
      </c>
      <c r="AX199" s="78" t="s">
        <v>349</v>
      </c>
      <c r="AY199" s="22">
        <f t="shared" si="898"/>
        <v>8.0784000000000002</v>
      </c>
      <c r="AZ199" s="22">
        <f>+[8]БПр!$BX$1098/1000</f>
        <v>0</v>
      </c>
      <c r="BA199" s="22">
        <f>+[8]БПр!$BW$1098/1000</f>
        <v>0.67</v>
      </c>
      <c r="BB199" s="22">
        <f>+[8]БПр!$BO$1098/1000</f>
        <v>7.4084000000000003</v>
      </c>
      <c r="BC199" s="22">
        <v>897.17</v>
      </c>
      <c r="BD199" s="22">
        <v>911.72</v>
      </c>
      <c r="BE199" s="22">
        <f t="shared" si="924"/>
        <v>101.62176622044876</v>
      </c>
      <c r="BF199" s="22"/>
      <c r="BG199" s="22"/>
      <c r="BH199" s="22">
        <f t="shared" si="925"/>
        <v>0</v>
      </c>
      <c r="BI199" s="22"/>
      <c r="BJ199" s="40" t="s">
        <v>350</v>
      </c>
      <c r="BK199" s="19">
        <f t="shared" si="812"/>
        <v>0</v>
      </c>
      <c r="BL199" s="19">
        <f t="shared" si="858"/>
        <v>0</v>
      </c>
      <c r="BM199" s="19">
        <f t="shared" si="859"/>
        <v>0</v>
      </c>
      <c r="BN199" s="19">
        <f t="shared" si="860"/>
        <v>0</v>
      </c>
      <c r="BO199" s="19">
        <f t="shared" si="813"/>
        <v>0</v>
      </c>
      <c r="BP199" s="19">
        <f t="shared" si="861"/>
        <v>0</v>
      </c>
      <c r="BQ199" s="19">
        <f t="shared" si="872"/>
        <v>0</v>
      </c>
      <c r="BR199" s="19">
        <f t="shared" si="862"/>
        <v>0</v>
      </c>
      <c r="BS199" s="19">
        <f t="shared" si="815"/>
        <v>0</v>
      </c>
      <c r="BT199" s="19">
        <f t="shared" si="863"/>
        <v>0</v>
      </c>
      <c r="BU199" s="19">
        <f t="shared" si="873"/>
        <v>0</v>
      </c>
      <c r="BV199" s="19">
        <f t="shared" si="864"/>
        <v>0</v>
      </c>
      <c r="BW199" s="19">
        <f t="shared" si="899"/>
        <v>0</v>
      </c>
      <c r="BX199" s="19">
        <f t="shared" si="900"/>
        <v>0</v>
      </c>
      <c r="BY199" s="19">
        <f t="shared" si="901"/>
        <v>0</v>
      </c>
      <c r="BZ199" s="19">
        <f t="shared" si="902"/>
        <v>0</v>
      </c>
      <c r="CA199" s="19">
        <f t="shared" si="903"/>
        <v>0</v>
      </c>
      <c r="CB199" s="19">
        <f t="shared" si="904"/>
        <v>0</v>
      </c>
      <c r="CC199" s="19">
        <f t="shared" si="905"/>
        <v>0</v>
      </c>
      <c r="CD199" s="19">
        <f t="shared" si="906"/>
        <v>0</v>
      </c>
      <c r="CE199" s="48">
        <f t="shared" si="822"/>
        <v>0</v>
      </c>
      <c r="CF199" s="48">
        <f t="shared" si="823"/>
        <v>0</v>
      </c>
      <c r="CG199" s="48">
        <f t="shared" si="824"/>
        <v>0</v>
      </c>
      <c r="CH199" s="48">
        <f t="shared" si="825"/>
        <v>0</v>
      </c>
      <c r="CI199" s="48">
        <f t="shared" si="826"/>
        <v>0</v>
      </c>
      <c r="CJ199" s="48">
        <f t="shared" si="827"/>
        <v>0</v>
      </c>
      <c r="CK199" s="48">
        <f t="shared" si="828"/>
        <v>0</v>
      </c>
      <c r="CL199" s="48">
        <f t="shared" si="829"/>
        <v>0</v>
      </c>
      <c r="CM199" s="48">
        <f t="shared" si="830"/>
        <v>0</v>
      </c>
      <c r="CN199" s="48">
        <f t="shared" si="831"/>
        <v>0</v>
      </c>
      <c r="CO199" s="48">
        <f t="shared" si="832"/>
        <v>0</v>
      </c>
      <c r="CP199" s="48">
        <f t="shared" si="833"/>
        <v>0</v>
      </c>
      <c r="CQ199" s="48">
        <f t="shared" si="834"/>
        <v>0</v>
      </c>
      <c r="CR199" s="48">
        <f t="shared" si="835"/>
        <v>0</v>
      </c>
      <c r="CS199" s="48">
        <f t="shared" si="836"/>
        <v>0</v>
      </c>
      <c r="CT199" s="48">
        <f t="shared" si="837"/>
        <v>0</v>
      </c>
      <c r="CU199" s="48">
        <f t="shared" si="838"/>
        <v>0</v>
      </c>
      <c r="CV199" s="48">
        <f t="shared" si="839"/>
        <v>0</v>
      </c>
      <c r="CW199" s="19">
        <f t="shared" si="907"/>
        <v>0</v>
      </c>
      <c r="CX199" s="19">
        <f t="shared" si="908"/>
        <v>0</v>
      </c>
      <c r="CY199" s="19">
        <f t="shared" si="909"/>
        <v>0</v>
      </c>
      <c r="CZ199" s="19">
        <f t="shared" si="910"/>
        <v>0</v>
      </c>
      <c r="DA199" s="21">
        <f t="shared" si="844"/>
        <v>0</v>
      </c>
      <c r="DB199" s="21">
        <f t="shared" si="845"/>
        <v>0</v>
      </c>
      <c r="DC199" s="79">
        <f t="shared" si="846"/>
        <v>0</v>
      </c>
      <c r="DD199" s="79">
        <f t="shared" si="846"/>
        <v>0</v>
      </c>
      <c r="DE199" s="79">
        <f t="shared" si="911"/>
        <v>0</v>
      </c>
      <c r="DF199" s="79">
        <f t="shared" si="911"/>
        <v>0</v>
      </c>
      <c r="DG199" s="79">
        <f t="shared" si="874"/>
        <v>0</v>
      </c>
      <c r="DH199" s="51">
        <f t="shared" si="848"/>
        <v>0</v>
      </c>
      <c r="DI199" s="39"/>
      <c r="DJ199" s="80">
        <f t="shared" si="849"/>
        <v>0</v>
      </c>
      <c r="DK199" s="39">
        <f t="shared" si="850"/>
        <v>0</v>
      </c>
      <c r="DL199" s="39">
        <f t="shared" si="851"/>
        <v>0</v>
      </c>
      <c r="DM199" s="48">
        <f>+AT199-'[2]тарифы (12-13) население 15%'!AP246</f>
        <v>0</v>
      </c>
      <c r="DN199" s="39"/>
      <c r="DO199" s="39"/>
      <c r="DP199" s="39"/>
      <c r="DQ199" s="39"/>
      <c r="DR199" s="39"/>
      <c r="DS199" s="39"/>
      <c r="DT199" s="39"/>
      <c r="DU199" s="19">
        <f t="shared" si="926"/>
        <v>0</v>
      </c>
      <c r="DV199" s="40">
        <f t="shared" si="912"/>
        <v>0</v>
      </c>
      <c r="DW199" s="40">
        <f t="shared" si="913"/>
        <v>0</v>
      </c>
      <c r="DX199" s="46"/>
      <c r="DY199" s="21">
        <f t="shared" si="914"/>
        <v>0</v>
      </c>
      <c r="DZ199" s="19">
        <f t="shared" si="915"/>
        <v>7.2476981279999997</v>
      </c>
      <c r="EA199" s="19">
        <f t="shared" si="916"/>
        <v>7.3652388480000006</v>
      </c>
      <c r="EB199" s="19"/>
      <c r="EC199" s="48">
        <f t="shared" si="879"/>
        <v>0</v>
      </c>
      <c r="ED199" s="48">
        <f t="shared" si="880"/>
        <v>0</v>
      </c>
      <c r="EE199" s="22">
        <v>892.3</v>
      </c>
      <c r="EF199" s="22">
        <v>963.39</v>
      </c>
      <c r="EG199" s="22">
        <f t="shared" si="917"/>
        <v>107.96705144009861</v>
      </c>
      <c r="EH199" s="22"/>
      <c r="EI199" s="22"/>
      <c r="EJ199" s="22">
        <f t="shared" si="918"/>
        <v>0</v>
      </c>
      <c r="EK199" s="40" t="s">
        <v>351</v>
      </c>
      <c r="EL199" s="19">
        <v>8.0784000000000002</v>
      </c>
      <c r="EM199" s="19">
        <v>0</v>
      </c>
      <c r="EN199" s="40">
        <f t="shared" si="891"/>
        <v>0</v>
      </c>
      <c r="EO199" s="40">
        <f t="shared" si="892"/>
        <v>0</v>
      </c>
      <c r="EP199" s="40"/>
      <c r="EQ199" s="21">
        <f t="shared" si="888"/>
        <v>0</v>
      </c>
      <c r="ER199" s="21"/>
      <c r="ES199" s="21">
        <f t="shared" si="881"/>
        <v>7208.3563199999999</v>
      </c>
      <c r="ET199" s="21"/>
      <c r="EU199" s="19">
        <f t="shared" si="893"/>
        <v>7782.6497760000002</v>
      </c>
      <c r="EV199" s="21"/>
      <c r="EW199" s="39"/>
      <c r="EX199" s="39">
        <f t="shared" si="882"/>
        <v>7365.2388480000009</v>
      </c>
      <c r="EY199" s="39">
        <f t="shared" si="867"/>
        <v>7782.6497760000002</v>
      </c>
      <c r="EZ199" s="39"/>
      <c r="FA199" s="39"/>
      <c r="FB199" s="39"/>
      <c r="FC199" s="39"/>
      <c r="FD199" s="39"/>
      <c r="FE199" s="39"/>
      <c r="FF199" s="39"/>
      <c r="FG199" s="39"/>
      <c r="FH199" s="39"/>
      <c r="FI199" s="39"/>
      <c r="FJ199" s="19">
        <f t="shared" si="894"/>
        <v>0</v>
      </c>
      <c r="FK199" s="19">
        <f t="shared" si="895"/>
        <v>0</v>
      </c>
      <c r="FL199" s="19">
        <f t="shared" si="896"/>
        <v>0</v>
      </c>
      <c r="FM199" s="19">
        <v>8.1660000000000004</v>
      </c>
      <c r="FN199" s="19"/>
      <c r="FO199" s="22">
        <v>1055.47</v>
      </c>
      <c r="FP199" s="22">
        <v>1055.47</v>
      </c>
      <c r="FQ199" s="22"/>
      <c r="FR199" s="22" t="s">
        <v>633</v>
      </c>
      <c r="FS199" s="22" t="s">
        <v>633</v>
      </c>
      <c r="FT199" s="22"/>
      <c r="FU199" s="40" t="s">
        <v>678</v>
      </c>
      <c r="FV199" s="19"/>
      <c r="FW199" s="19"/>
      <c r="FX199" s="19"/>
      <c r="FY199" s="19"/>
      <c r="FZ199" s="19"/>
      <c r="GA199" s="19"/>
      <c r="GB199" s="19"/>
      <c r="GC199" s="20"/>
      <c r="GD199" s="20"/>
      <c r="GE199" s="21"/>
      <c r="GF199" s="21"/>
      <c r="GG199" s="21"/>
      <c r="GH199" s="21"/>
      <c r="GI199" s="21"/>
      <c r="GJ199" s="21"/>
      <c r="GK199" s="21"/>
      <c r="GL199" s="21"/>
      <c r="GM199" s="19"/>
      <c r="GN199" s="19"/>
      <c r="GO199" s="22">
        <v>1055.47</v>
      </c>
      <c r="GP199" s="22">
        <v>1161.06</v>
      </c>
      <c r="GQ199" s="22"/>
      <c r="GR199" s="22" t="s">
        <v>633</v>
      </c>
      <c r="GS199" s="22" t="s">
        <v>633</v>
      </c>
      <c r="GT199" s="22"/>
      <c r="GU199" s="40" t="s">
        <v>678</v>
      </c>
      <c r="GV199" s="19"/>
      <c r="GW199" s="19"/>
      <c r="GX199" s="19"/>
      <c r="GY199" s="19"/>
      <c r="GZ199" s="23"/>
      <c r="HA199" s="22">
        <v>1161.06</v>
      </c>
      <c r="HB199" s="22">
        <v>1193.17</v>
      </c>
      <c r="HC199" s="22"/>
      <c r="HD199" s="22" t="s">
        <v>633</v>
      </c>
      <c r="HE199" s="22" t="s">
        <v>633</v>
      </c>
      <c r="HF199" s="22"/>
      <c r="HG199" s="236" t="s">
        <v>678</v>
      </c>
    </row>
    <row r="200" spans="2:215" ht="15.75">
      <c r="B200" s="10"/>
      <c r="C200" s="186" t="s">
        <v>574</v>
      </c>
      <c r="D200" s="76"/>
      <c r="E200" s="73"/>
      <c r="F200" s="74"/>
      <c r="G200" s="74"/>
      <c r="H200" s="74"/>
      <c r="I200" s="73"/>
      <c r="J200" s="73"/>
      <c r="K200" s="73"/>
      <c r="L200" s="73"/>
      <c r="M200" s="76"/>
      <c r="N200" s="73"/>
      <c r="O200" s="76"/>
      <c r="P200" s="76"/>
      <c r="Q200" s="76"/>
      <c r="R200" s="73"/>
      <c r="S200" s="74"/>
      <c r="T200" s="74"/>
      <c r="U200" s="74"/>
      <c r="V200" s="52"/>
      <c r="W200" s="52"/>
      <c r="X200" s="52"/>
      <c r="Y200" s="52"/>
      <c r="Z200" s="22"/>
      <c r="AA200" s="52"/>
      <c r="AB200" s="22"/>
      <c r="AC200" s="52"/>
      <c r="AD200" s="52"/>
      <c r="AE200" s="22"/>
      <c r="AF200" s="22"/>
      <c r="AG200" s="22"/>
      <c r="AH200" s="22"/>
      <c r="AI200" s="22"/>
      <c r="AJ200" s="52"/>
      <c r="AK200" s="22"/>
      <c r="AL200" s="22"/>
      <c r="AM200" s="22"/>
      <c r="AN200" s="22"/>
      <c r="AO200" s="22"/>
      <c r="AP200" s="22"/>
      <c r="AQ200" s="22"/>
      <c r="AR200" s="22"/>
      <c r="AS200" s="22"/>
      <c r="AT200" s="22"/>
      <c r="AU200" s="22"/>
      <c r="AV200" s="77"/>
      <c r="AW200" s="77"/>
      <c r="AX200" s="78"/>
      <c r="AY200" s="22"/>
      <c r="AZ200" s="22"/>
      <c r="BA200" s="22"/>
      <c r="BB200" s="22"/>
      <c r="BC200" s="22"/>
      <c r="BD200" s="22"/>
      <c r="BE200" s="22"/>
      <c r="BF200" s="22"/>
      <c r="BG200" s="22"/>
      <c r="BH200" s="22"/>
      <c r="BI200" s="22"/>
      <c r="BJ200" s="40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19"/>
      <c r="CX200" s="19"/>
      <c r="CY200" s="19"/>
      <c r="CZ200" s="19"/>
      <c r="DA200" s="21"/>
      <c r="DB200" s="21"/>
      <c r="DC200" s="79"/>
      <c r="DD200" s="79"/>
      <c r="DE200" s="79"/>
      <c r="DF200" s="79"/>
      <c r="DG200" s="79"/>
      <c r="DH200" s="51"/>
      <c r="DI200" s="39"/>
      <c r="DJ200" s="80"/>
      <c r="DK200" s="39"/>
      <c r="DL200" s="39"/>
      <c r="DM200" s="48"/>
      <c r="DN200" s="39"/>
      <c r="DO200" s="39"/>
      <c r="DP200" s="39"/>
      <c r="DQ200" s="39"/>
      <c r="DR200" s="39"/>
      <c r="DS200" s="39"/>
      <c r="DT200" s="39"/>
      <c r="DU200" s="19"/>
      <c r="DV200" s="40"/>
      <c r="DW200" s="40"/>
      <c r="DX200" s="21"/>
      <c r="DY200" s="21"/>
      <c r="DZ200" s="19"/>
      <c r="EA200" s="19"/>
      <c r="EB200" s="19"/>
      <c r="EC200" s="48"/>
      <c r="ED200" s="48"/>
      <c r="EE200" s="22"/>
      <c r="EF200" s="22"/>
      <c r="EG200" s="22"/>
      <c r="EH200" s="22"/>
      <c r="EI200" s="22"/>
      <c r="EJ200" s="22"/>
      <c r="EK200" s="40"/>
      <c r="EL200" s="19"/>
      <c r="EM200" s="19"/>
      <c r="EN200" s="40"/>
      <c r="EO200" s="40"/>
      <c r="EP200" s="40"/>
      <c r="EQ200" s="21"/>
      <c r="ER200" s="21"/>
      <c r="ES200" s="19"/>
      <c r="ET200" s="19"/>
      <c r="EU200" s="19"/>
      <c r="EV200" s="21"/>
      <c r="EW200" s="166"/>
      <c r="EX200" s="39"/>
      <c r="EY200" s="39"/>
      <c r="EZ200" s="39"/>
      <c r="FA200" s="39"/>
      <c r="FB200" s="39"/>
      <c r="FC200" s="39"/>
      <c r="FD200" s="39"/>
      <c r="FE200" s="39"/>
      <c r="FF200" s="39"/>
      <c r="FG200" s="39"/>
      <c r="FH200" s="39"/>
      <c r="FI200" s="39"/>
      <c r="FJ200" s="19"/>
      <c r="FK200" s="19"/>
      <c r="FL200" s="19"/>
      <c r="FM200" s="19"/>
      <c r="FN200" s="19"/>
      <c r="FO200" s="22"/>
      <c r="FP200" s="22"/>
      <c r="FQ200" s="22"/>
      <c r="FR200" s="22"/>
      <c r="FS200" s="22"/>
      <c r="FT200" s="22"/>
      <c r="FU200" s="40"/>
      <c r="FV200" s="19"/>
      <c r="FW200" s="19"/>
      <c r="FX200" s="19"/>
      <c r="FY200" s="19"/>
      <c r="FZ200" s="19"/>
      <c r="GA200" s="19"/>
      <c r="GB200" s="19"/>
      <c r="GC200" s="20"/>
      <c r="GD200" s="20"/>
      <c r="GE200" s="19"/>
      <c r="GF200" s="19"/>
      <c r="GG200" s="19"/>
      <c r="GH200" s="19"/>
      <c r="GI200" s="19"/>
      <c r="GJ200" s="21"/>
      <c r="GK200" s="19"/>
      <c r="GL200" s="19"/>
      <c r="GM200" s="19"/>
      <c r="GN200" s="19"/>
      <c r="GO200" s="22"/>
      <c r="GP200" s="22"/>
      <c r="GQ200" s="22"/>
      <c r="GR200" s="22"/>
      <c r="GS200" s="22"/>
      <c r="GT200" s="22"/>
      <c r="GU200" s="43"/>
      <c r="GV200" s="19"/>
      <c r="GW200" s="19"/>
      <c r="GX200" s="19"/>
      <c r="GY200" s="19"/>
      <c r="GZ200" s="23"/>
      <c r="HA200" s="22"/>
      <c r="HB200" s="22"/>
      <c r="HC200" s="22"/>
      <c r="HD200" s="22"/>
      <c r="HE200" s="22"/>
      <c r="HF200" s="22"/>
      <c r="HG200" s="233"/>
    </row>
    <row r="201" spans="2:215" ht="15.75">
      <c r="B201" s="10"/>
      <c r="C201" s="184" t="s">
        <v>131</v>
      </c>
      <c r="D201" s="76"/>
      <c r="E201" s="73"/>
      <c r="F201" s="74"/>
      <c r="G201" s="74"/>
      <c r="H201" s="74"/>
      <c r="I201" s="73"/>
      <c r="J201" s="73"/>
      <c r="K201" s="73"/>
      <c r="L201" s="73"/>
      <c r="M201" s="76"/>
      <c r="N201" s="73"/>
      <c r="O201" s="76"/>
      <c r="P201" s="76"/>
      <c r="Q201" s="76"/>
      <c r="R201" s="73"/>
      <c r="S201" s="74"/>
      <c r="T201" s="74"/>
      <c r="U201" s="74"/>
      <c r="V201" s="52"/>
      <c r="W201" s="52"/>
      <c r="X201" s="52"/>
      <c r="Y201" s="52"/>
      <c r="Z201" s="22"/>
      <c r="AA201" s="52"/>
      <c r="AB201" s="22"/>
      <c r="AC201" s="52"/>
      <c r="AD201" s="52"/>
      <c r="AE201" s="22"/>
      <c r="AF201" s="22"/>
      <c r="AG201" s="22"/>
      <c r="AH201" s="22"/>
      <c r="AI201" s="22"/>
      <c r="AJ201" s="52"/>
      <c r="AK201" s="22"/>
      <c r="AL201" s="22"/>
      <c r="AM201" s="22"/>
      <c r="AN201" s="22"/>
      <c r="AO201" s="22"/>
      <c r="AP201" s="22"/>
      <c r="AQ201" s="22"/>
      <c r="AR201" s="22"/>
      <c r="AS201" s="22"/>
      <c r="AT201" s="22"/>
      <c r="AU201" s="22"/>
      <c r="AV201" s="77"/>
      <c r="AW201" s="77"/>
      <c r="AX201" s="78"/>
      <c r="AY201" s="22"/>
      <c r="AZ201" s="22"/>
      <c r="BA201" s="22"/>
      <c r="BB201" s="22"/>
      <c r="BC201" s="22"/>
      <c r="BD201" s="22"/>
      <c r="BE201" s="22"/>
      <c r="BF201" s="22"/>
      <c r="BG201" s="22"/>
      <c r="BH201" s="22"/>
      <c r="BI201" s="22"/>
      <c r="BJ201" s="40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19"/>
      <c r="CX201" s="19"/>
      <c r="CY201" s="19"/>
      <c r="CZ201" s="19"/>
      <c r="DA201" s="21"/>
      <c r="DB201" s="21"/>
      <c r="DC201" s="79"/>
      <c r="DD201" s="79"/>
      <c r="DE201" s="79"/>
      <c r="DF201" s="79"/>
      <c r="DG201" s="79"/>
      <c r="DH201" s="51"/>
      <c r="DI201" s="39"/>
      <c r="DJ201" s="80"/>
      <c r="DK201" s="39"/>
      <c r="DL201" s="39"/>
      <c r="DM201" s="48"/>
      <c r="DN201" s="39"/>
      <c r="DO201" s="39"/>
      <c r="DP201" s="39"/>
      <c r="DQ201" s="39"/>
      <c r="DR201" s="39"/>
      <c r="DS201" s="39"/>
      <c r="DT201" s="39"/>
      <c r="DU201" s="19"/>
      <c r="DV201" s="40"/>
      <c r="DW201" s="40"/>
      <c r="DX201" s="21"/>
      <c r="DY201" s="21"/>
      <c r="DZ201" s="19"/>
      <c r="EA201" s="19"/>
      <c r="EB201" s="19"/>
      <c r="EC201" s="48"/>
      <c r="ED201" s="48"/>
      <c r="EE201" s="22"/>
      <c r="EF201" s="22"/>
      <c r="EG201" s="22"/>
      <c r="EH201" s="22"/>
      <c r="EI201" s="22"/>
      <c r="EJ201" s="22"/>
      <c r="EK201" s="40"/>
      <c r="EL201" s="19"/>
      <c r="EM201" s="19"/>
      <c r="EN201" s="40"/>
      <c r="EO201" s="40"/>
      <c r="EP201" s="40"/>
      <c r="EQ201" s="21"/>
      <c r="ER201" s="21"/>
      <c r="ES201" s="19"/>
      <c r="ET201" s="19"/>
      <c r="EU201" s="19"/>
      <c r="EV201" s="21"/>
      <c r="EW201" s="166"/>
      <c r="EX201" s="39"/>
      <c r="EY201" s="39"/>
      <c r="EZ201" s="39"/>
      <c r="FA201" s="39"/>
      <c r="FB201" s="39"/>
      <c r="FC201" s="39"/>
      <c r="FD201" s="39"/>
      <c r="FE201" s="39"/>
      <c r="FF201" s="39"/>
      <c r="FG201" s="39"/>
      <c r="FH201" s="39"/>
      <c r="FI201" s="39"/>
      <c r="FJ201" s="19"/>
      <c r="FK201" s="19"/>
      <c r="FL201" s="19"/>
      <c r="FM201" s="19"/>
      <c r="FN201" s="19"/>
      <c r="FO201" s="22">
        <v>21.26</v>
      </c>
      <c r="FP201" s="22">
        <v>21.69</v>
      </c>
      <c r="FQ201" s="22"/>
      <c r="FR201" s="22">
        <v>25.52</v>
      </c>
      <c r="FS201" s="22">
        <v>26.21</v>
      </c>
      <c r="FT201" s="22"/>
      <c r="FU201" s="242" t="s">
        <v>648</v>
      </c>
      <c r="FV201" s="19"/>
      <c r="FW201" s="19"/>
      <c r="FX201" s="19"/>
      <c r="FY201" s="19"/>
      <c r="FZ201" s="19"/>
      <c r="GA201" s="19"/>
      <c r="GB201" s="19"/>
      <c r="GC201" s="20"/>
      <c r="GD201" s="20"/>
      <c r="GE201" s="19"/>
      <c r="GF201" s="19"/>
      <c r="GG201" s="19"/>
      <c r="GH201" s="19"/>
      <c r="GI201" s="19"/>
      <c r="GJ201" s="21"/>
      <c r="GK201" s="19"/>
      <c r="GL201" s="19"/>
      <c r="GM201" s="19"/>
      <c r="GN201" s="19"/>
      <c r="GO201" s="22">
        <v>21.89</v>
      </c>
      <c r="GP201" s="22">
        <v>22.66</v>
      </c>
      <c r="GQ201" s="22"/>
      <c r="GR201" s="22">
        <v>25.83</v>
      </c>
      <c r="GS201" s="22">
        <v>26.74</v>
      </c>
      <c r="GT201" s="22"/>
      <c r="GU201" s="242" t="s">
        <v>648</v>
      </c>
      <c r="GV201" s="19"/>
      <c r="GW201" s="19"/>
      <c r="GX201" s="19"/>
      <c r="GY201" s="19"/>
      <c r="GZ201" s="23"/>
      <c r="HA201" s="22" t="s">
        <v>633</v>
      </c>
      <c r="HB201" s="22" t="s">
        <v>633</v>
      </c>
      <c r="HC201" s="22"/>
      <c r="HD201" s="22" t="s">
        <v>633</v>
      </c>
      <c r="HE201" s="22" t="s">
        <v>633</v>
      </c>
      <c r="HF201" s="22"/>
      <c r="HG201" s="233" t="s">
        <v>633</v>
      </c>
    </row>
    <row r="202" spans="2:215" ht="15.75">
      <c r="B202" s="10"/>
      <c r="C202" s="184" t="s">
        <v>587</v>
      </c>
      <c r="D202" s="76"/>
      <c r="E202" s="73"/>
      <c r="F202" s="74"/>
      <c r="G202" s="74"/>
      <c r="H202" s="74"/>
      <c r="I202" s="73"/>
      <c r="J202" s="73"/>
      <c r="K202" s="73"/>
      <c r="L202" s="73"/>
      <c r="M202" s="76"/>
      <c r="N202" s="73"/>
      <c r="O202" s="76"/>
      <c r="P202" s="76"/>
      <c r="Q202" s="76"/>
      <c r="R202" s="73"/>
      <c r="S202" s="74"/>
      <c r="T202" s="74"/>
      <c r="U202" s="74"/>
      <c r="V202" s="52"/>
      <c r="W202" s="52"/>
      <c r="X202" s="52"/>
      <c r="Y202" s="52"/>
      <c r="Z202" s="22"/>
      <c r="AA202" s="52"/>
      <c r="AB202" s="22"/>
      <c r="AC202" s="52"/>
      <c r="AD202" s="52"/>
      <c r="AE202" s="22"/>
      <c r="AF202" s="22"/>
      <c r="AG202" s="22"/>
      <c r="AH202" s="22"/>
      <c r="AI202" s="22"/>
      <c r="AJ202" s="52"/>
      <c r="AK202" s="22"/>
      <c r="AL202" s="22"/>
      <c r="AM202" s="22"/>
      <c r="AN202" s="22"/>
      <c r="AO202" s="22"/>
      <c r="AP202" s="22"/>
      <c r="AQ202" s="22"/>
      <c r="AR202" s="22"/>
      <c r="AS202" s="22"/>
      <c r="AT202" s="22"/>
      <c r="AU202" s="22"/>
      <c r="AV202" s="77"/>
      <c r="AW202" s="77"/>
      <c r="AX202" s="78"/>
      <c r="AY202" s="22"/>
      <c r="AZ202" s="22"/>
      <c r="BA202" s="22"/>
      <c r="BB202" s="22"/>
      <c r="BC202" s="22"/>
      <c r="BD202" s="22"/>
      <c r="BE202" s="22"/>
      <c r="BF202" s="22"/>
      <c r="BG202" s="22"/>
      <c r="BH202" s="22"/>
      <c r="BI202" s="22"/>
      <c r="BJ202" s="40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19"/>
      <c r="CX202" s="19"/>
      <c r="CY202" s="19"/>
      <c r="CZ202" s="19"/>
      <c r="DA202" s="21"/>
      <c r="DB202" s="21"/>
      <c r="DC202" s="79"/>
      <c r="DD202" s="79"/>
      <c r="DE202" s="79"/>
      <c r="DF202" s="79"/>
      <c r="DG202" s="79"/>
      <c r="DH202" s="51"/>
      <c r="DI202" s="39"/>
      <c r="DJ202" s="80"/>
      <c r="DK202" s="39"/>
      <c r="DL202" s="39"/>
      <c r="DM202" s="48"/>
      <c r="DN202" s="39"/>
      <c r="DO202" s="39"/>
      <c r="DP202" s="39"/>
      <c r="DQ202" s="39"/>
      <c r="DR202" s="39"/>
      <c r="DS202" s="39"/>
      <c r="DT202" s="39"/>
      <c r="DU202" s="19"/>
      <c r="DV202" s="40"/>
      <c r="DW202" s="40"/>
      <c r="DX202" s="21"/>
      <c r="DY202" s="21"/>
      <c r="DZ202" s="19"/>
      <c r="EA202" s="19"/>
      <c r="EB202" s="19"/>
      <c r="EC202" s="48"/>
      <c r="ED202" s="48"/>
      <c r="EE202" s="22"/>
      <c r="EF202" s="22"/>
      <c r="EG202" s="22"/>
      <c r="EH202" s="22"/>
      <c r="EI202" s="22"/>
      <c r="EJ202" s="22"/>
      <c r="EK202" s="40"/>
      <c r="EL202" s="19"/>
      <c r="EM202" s="19"/>
      <c r="EN202" s="40"/>
      <c r="EO202" s="40"/>
      <c r="EP202" s="40"/>
      <c r="EQ202" s="21"/>
      <c r="ER202" s="21"/>
      <c r="ES202" s="19"/>
      <c r="ET202" s="19"/>
      <c r="EU202" s="19"/>
      <c r="EV202" s="21"/>
      <c r="EW202" s="166"/>
      <c r="EX202" s="39"/>
      <c r="EY202" s="39"/>
      <c r="EZ202" s="39"/>
      <c r="FA202" s="39"/>
      <c r="FB202" s="39"/>
      <c r="FC202" s="39"/>
      <c r="FD202" s="39"/>
      <c r="FE202" s="39"/>
      <c r="FF202" s="39"/>
      <c r="FG202" s="39"/>
      <c r="FH202" s="39"/>
      <c r="FI202" s="39"/>
      <c r="FJ202" s="19"/>
      <c r="FK202" s="19"/>
      <c r="FL202" s="19"/>
      <c r="FM202" s="19"/>
      <c r="FN202" s="19"/>
      <c r="FO202" s="22">
        <v>6.42</v>
      </c>
      <c r="FP202" s="22">
        <v>6.52</v>
      </c>
      <c r="FQ202" s="22"/>
      <c r="FR202" s="22">
        <v>7.71</v>
      </c>
      <c r="FS202" s="22">
        <v>7.92</v>
      </c>
      <c r="FT202" s="22"/>
      <c r="FU202" s="242"/>
      <c r="FV202" s="19"/>
      <c r="FW202" s="19"/>
      <c r="FX202" s="19"/>
      <c r="FY202" s="19"/>
      <c r="FZ202" s="19"/>
      <c r="GA202" s="19"/>
      <c r="GB202" s="19"/>
      <c r="GC202" s="20"/>
      <c r="GD202" s="20"/>
      <c r="GE202" s="19"/>
      <c r="GF202" s="19"/>
      <c r="GG202" s="19"/>
      <c r="GH202" s="19"/>
      <c r="GI202" s="19"/>
      <c r="GJ202" s="21"/>
      <c r="GK202" s="19"/>
      <c r="GL202" s="19"/>
      <c r="GM202" s="19"/>
      <c r="GN202" s="19"/>
      <c r="GO202" s="22">
        <v>6.61</v>
      </c>
      <c r="GP202" s="22">
        <v>6.81</v>
      </c>
      <c r="GQ202" s="22"/>
      <c r="GR202" s="22">
        <v>7.8</v>
      </c>
      <c r="GS202" s="22">
        <v>8.0399999999999991</v>
      </c>
      <c r="GT202" s="22"/>
      <c r="GU202" s="242"/>
      <c r="GV202" s="19"/>
      <c r="GW202" s="19"/>
      <c r="GX202" s="19"/>
      <c r="GY202" s="19"/>
      <c r="GZ202" s="23"/>
      <c r="HA202" s="22" t="s">
        <v>633</v>
      </c>
      <c r="HB202" s="22" t="s">
        <v>633</v>
      </c>
      <c r="HC202" s="22"/>
      <c r="HD202" s="22" t="s">
        <v>633</v>
      </c>
      <c r="HE202" s="22" t="s">
        <v>633</v>
      </c>
      <c r="HF202" s="22"/>
      <c r="HG202" s="233" t="s">
        <v>633</v>
      </c>
    </row>
    <row r="203" spans="2:215" ht="15.75">
      <c r="B203" s="10"/>
      <c r="C203" s="161" t="s">
        <v>204</v>
      </c>
      <c r="D203" s="76"/>
      <c r="E203" s="73"/>
      <c r="F203" s="74"/>
      <c r="G203" s="74"/>
      <c r="H203" s="74"/>
      <c r="I203" s="73"/>
      <c r="J203" s="73"/>
      <c r="K203" s="73"/>
      <c r="L203" s="73"/>
      <c r="M203" s="76"/>
      <c r="N203" s="73"/>
      <c r="O203" s="76"/>
      <c r="P203" s="76"/>
      <c r="Q203" s="76"/>
      <c r="R203" s="73"/>
      <c r="S203" s="74"/>
      <c r="T203" s="74"/>
      <c r="U203" s="74"/>
      <c r="V203" s="52"/>
      <c r="W203" s="52"/>
      <c r="X203" s="52"/>
      <c r="Y203" s="52"/>
      <c r="Z203" s="22"/>
      <c r="AA203" s="52"/>
      <c r="AB203" s="22"/>
      <c r="AC203" s="52"/>
      <c r="AD203" s="52"/>
      <c r="AE203" s="22"/>
      <c r="AF203" s="22"/>
      <c r="AG203" s="22"/>
      <c r="AH203" s="22"/>
      <c r="AI203" s="22"/>
      <c r="AJ203" s="52"/>
      <c r="AK203" s="22"/>
      <c r="AL203" s="22"/>
      <c r="AM203" s="22"/>
      <c r="AN203" s="22"/>
      <c r="AO203" s="22"/>
      <c r="AP203" s="22"/>
      <c r="AQ203" s="22"/>
      <c r="AR203" s="22"/>
      <c r="AS203" s="22"/>
      <c r="AT203" s="22"/>
      <c r="AU203" s="22"/>
      <c r="AV203" s="77"/>
      <c r="AW203" s="77"/>
      <c r="AX203" s="78"/>
      <c r="AY203" s="22"/>
      <c r="AZ203" s="22"/>
      <c r="BA203" s="22"/>
      <c r="BB203" s="22"/>
      <c r="BC203" s="22"/>
      <c r="BD203" s="22"/>
      <c r="BE203" s="22"/>
      <c r="BF203" s="22"/>
      <c r="BG203" s="22"/>
      <c r="BH203" s="22"/>
      <c r="BI203" s="22"/>
      <c r="BJ203" s="40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19"/>
      <c r="CX203" s="19"/>
      <c r="CY203" s="19"/>
      <c r="CZ203" s="19"/>
      <c r="DA203" s="21"/>
      <c r="DB203" s="21"/>
      <c r="DC203" s="79"/>
      <c r="DD203" s="79"/>
      <c r="DE203" s="79"/>
      <c r="DF203" s="79"/>
      <c r="DG203" s="79"/>
      <c r="DH203" s="51"/>
      <c r="DI203" s="39"/>
      <c r="DJ203" s="80"/>
      <c r="DK203" s="39"/>
      <c r="DL203" s="39"/>
      <c r="DM203" s="48"/>
      <c r="DN203" s="39"/>
      <c r="DO203" s="39"/>
      <c r="DP203" s="39"/>
      <c r="DQ203" s="39"/>
      <c r="DR203" s="39"/>
      <c r="DS203" s="39"/>
      <c r="DT203" s="39"/>
      <c r="DU203" s="19"/>
      <c r="DV203" s="40"/>
      <c r="DW203" s="40"/>
      <c r="DX203" s="21"/>
      <c r="DY203" s="21"/>
      <c r="DZ203" s="19"/>
      <c r="EA203" s="19"/>
      <c r="EB203" s="19"/>
      <c r="EC203" s="48"/>
      <c r="ED203" s="48"/>
      <c r="EE203" s="22"/>
      <c r="EF203" s="22"/>
      <c r="EG203" s="22"/>
      <c r="EH203" s="22"/>
      <c r="EI203" s="22"/>
      <c r="EJ203" s="22"/>
      <c r="EK203" s="40"/>
      <c r="EL203" s="19"/>
      <c r="EM203" s="19"/>
      <c r="EN203" s="40"/>
      <c r="EO203" s="40"/>
      <c r="EP203" s="40"/>
      <c r="EQ203" s="21"/>
      <c r="ER203" s="21"/>
      <c r="ES203" s="19"/>
      <c r="ET203" s="19"/>
      <c r="EU203" s="19"/>
      <c r="EV203" s="21"/>
      <c r="EW203" s="166"/>
      <c r="EX203" s="39"/>
      <c r="EY203" s="39"/>
      <c r="EZ203" s="39"/>
      <c r="FA203" s="39"/>
      <c r="FB203" s="39"/>
      <c r="FC203" s="39"/>
      <c r="FD203" s="39"/>
      <c r="FE203" s="39"/>
      <c r="FF203" s="39"/>
      <c r="FG203" s="39"/>
      <c r="FH203" s="39"/>
      <c r="FI203" s="39"/>
      <c r="FJ203" s="19"/>
      <c r="FK203" s="19"/>
      <c r="FL203" s="19"/>
      <c r="FM203" s="19"/>
      <c r="FN203" s="19"/>
      <c r="FO203" s="22">
        <v>2862.99</v>
      </c>
      <c r="FP203" s="22">
        <v>2940.25</v>
      </c>
      <c r="FQ203" s="22"/>
      <c r="FR203" s="22">
        <v>1638.07</v>
      </c>
      <c r="FS203" s="22">
        <v>1682.13</v>
      </c>
      <c r="FT203" s="22"/>
      <c r="FU203" s="40" t="s">
        <v>647</v>
      </c>
      <c r="FV203" s="19"/>
      <c r="FW203" s="19"/>
      <c r="FX203" s="19"/>
      <c r="FY203" s="19"/>
      <c r="FZ203" s="19"/>
      <c r="GA203" s="19"/>
      <c r="GB203" s="19"/>
      <c r="GC203" s="20"/>
      <c r="GD203" s="20"/>
      <c r="GE203" s="19"/>
      <c r="GF203" s="19"/>
      <c r="GG203" s="19"/>
      <c r="GH203" s="19"/>
      <c r="GI203" s="19"/>
      <c r="GJ203" s="21"/>
      <c r="GK203" s="19"/>
      <c r="GL203" s="19"/>
      <c r="GM203" s="19"/>
      <c r="GN203" s="19"/>
      <c r="GO203" s="22">
        <v>2957.08</v>
      </c>
      <c r="GP203" s="22">
        <v>3061.89</v>
      </c>
      <c r="GQ203" s="22"/>
      <c r="GR203" s="22">
        <v>1675.28</v>
      </c>
      <c r="GS203" s="22">
        <v>1742.29</v>
      </c>
      <c r="GT203" s="22"/>
      <c r="GU203" s="40" t="s">
        <v>647</v>
      </c>
      <c r="GV203" s="19"/>
      <c r="GW203" s="19"/>
      <c r="GX203" s="19"/>
      <c r="GY203" s="19"/>
      <c r="GZ203" s="23"/>
      <c r="HA203" s="22" t="s">
        <v>633</v>
      </c>
      <c r="HB203" s="22" t="s">
        <v>633</v>
      </c>
      <c r="HC203" s="22"/>
      <c r="HD203" s="22" t="s">
        <v>633</v>
      </c>
      <c r="HE203" s="22" t="s">
        <v>633</v>
      </c>
      <c r="HF203" s="22"/>
      <c r="HG203" s="233" t="s">
        <v>633</v>
      </c>
    </row>
    <row r="204" spans="2:215" ht="15.75">
      <c r="B204" s="10"/>
      <c r="C204" s="184" t="s">
        <v>155</v>
      </c>
      <c r="D204" s="76"/>
      <c r="E204" s="73"/>
      <c r="F204" s="74"/>
      <c r="G204" s="74"/>
      <c r="H204" s="74"/>
      <c r="I204" s="73"/>
      <c r="J204" s="73"/>
      <c r="K204" s="73"/>
      <c r="L204" s="73"/>
      <c r="M204" s="76"/>
      <c r="N204" s="73"/>
      <c r="O204" s="76"/>
      <c r="P204" s="76"/>
      <c r="Q204" s="76"/>
      <c r="R204" s="73"/>
      <c r="S204" s="74"/>
      <c r="T204" s="74"/>
      <c r="U204" s="74"/>
      <c r="V204" s="52"/>
      <c r="W204" s="52"/>
      <c r="X204" s="52"/>
      <c r="Y204" s="52"/>
      <c r="Z204" s="22"/>
      <c r="AA204" s="52"/>
      <c r="AB204" s="22"/>
      <c r="AC204" s="52"/>
      <c r="AD204" s="52"/>
      <c r="AE204" s="22"/>
      <c r="AF204" s="22"/>
      <c r="AG204" s="22"/>
      <c r="AH204" s="22"/>
      <c r="AI204" s="22"/>
      <c r="AJ204" s="52"/>
      <c r="AK204" s="22"/>
      <c r="AL204" s="22"/>
      <c r="AM204" s="22"/>
      <c r="AN204" s="22"/>
      <c r="AO204" s="22"/>
      <c r="AP204" s="22"/>
      <c r="AQ204" s="22"/>
      <c r="AR204" s="22"/>
      <c r="AS204" s="22"/>
      <c r="AT204" s="22"/>
      <c r="AU204" s="22"/>
      <c r="AV204" s="77"/>
      <c r="AW204" s="77"/>
      <c r="AX204" s="78"/>
      <c r="AY204" s="22"/>
      <c r="AZ204" s="22"/>
      <c r="BA204" s="22"/>
      <c r="BB204" s="22"/>
      <c r="BC204" s="22"/>
      <c r="BD204" s="22"/>
      <c r="BE204" s="22"/>
      <c r="BF204" s="22"/>
      <c r="BG204" s="22"/>
      <c r="BH204" s="22"/>
      <c r="BI204" s="22"/>
      <c r="BJ204" s="40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19"/>
      <c r="CX204" s="19"/>
      <c r="CY204" s="19"/>
      <c r="CZ204" s="19"/>
      <c r="DA204" s="21"/>
      <c r="DB204" s="21"/>
      <c r="DC204" s="79"/>
      <c r="DD204" s="79"/>
      <c r="DE204" s="79"/>
      <c r="DF204" s="79"/>
      <c r="DG204" s="79"/>
      <c r="DH204" s="51"/>
      <c r="DI204" s="39"/>
      <c r="DJ204" s="80"/>
      <c r="DK204" s="39"/>
      <c r="DL204" s="39"/>
      <c r="DM204" s="48"/>
      <c r="DN204" s="39"/>
      <c r="DO204" s="39"/>
      <c r="DP204" s="39"/>
      <c r="DQ204" s="39"/>
      <c r="DR204" s="39"/>
      <c r="DS204" s="39"/>
      <c r="DT204" s="39"/>
      <c r="DU204" s="19"/>
      <c r="DV204" s="40"/>
      <c r="DW204" s="40"/>
      <c r="DX204" s="21"/>
      <c r="DY204" s="21"/>
      <c r="DZ204" s="19"/>
      <c r="EA204" s="19"/>
      <c r="EB204" s="19"/>
      <c r="EC204" s="48"/>
      <c r="ED204" s="48"/>
      <c r="EE204" s="22"/>
      <c r="EF204" s="22"/>
      <c r="EG204" s="22"/>
      <c r="EH204" s="22"/>
      <c r="EI204" s="22"/>
      <c r="EJ204" s="22"/>
      <c r="EK204" s="40"/>
      <c r="EL204" s="19"/>
      <c r="EM204" s="19"/>
      <c r="EN204" s="40"/>
      <c r="EO204" s="40"/>
      <c r="EP204" s="40"/>
      <c r="EQ204" s="21"/>
      <c r="ER204" s="21"/>
      <c r="ES204" s="19"/>
      <c r="ET204" s="19"/>
      <c r="EU204" s="19"/>
      <c r="EV204" s="21"/>
      <c r="EW204" s="166"/>
      <c r="EX204" s="39"/>
      <c r="EY204" s="39"/>
      <c r="EZ204" s="39"/>
      <c r="FA204" s="39"/>
      <c r="FB204" s="39"/>
      <c r="FC204" s="39"/>
      <c r="FD204" s="39"/>
      <c r="FE204" s="39"/>
      <c r="FF204" s="39"/>
      <c r="FG204" s="39"/>
      <c r="FH204" s="39"/>
      <c r="FI204" s="39"/>
      <c r="FJ204" s="19"/>
      <c r="FK204" s="19"/>
      <c r="FL204" s="19"/>
      <c r="FM204" s="19"/>
      <c r="FN204" s="19"/>
      <c r="FO204" s="22">
        <v>182.16</v>
      </c>
      <c r="FP204" s="22">
        <v>186.93</v>
      </c>
      <c r="FQ204" s="22"/>
      <c r="FR204" s="22">
        <v>100.26</v>
      </c>
      <c r="FS204" s="22">
        <v>103.27</v>
      </c>
      <c r="FT204" s="22"/>
      <c r="FU204" s="40" t="s">
        <v>654</v>
      </c>
      <c r="FV204" s="19"/>
      <c r="FW204" s="19"/>
      <c r="FX204" s="19"/>
      <c r="FY204" s="19"/>
      <c r="FZ204" s="19"/>
      <c r="GA204" s="19"/>
      <c r="GB204" s="19"/>
      <c r="GC204" s="20"/>
      <c r="GD204" s="20"/>
      <c r="GE204" s="19"/>
      <c r="GF204" s="19"/>
      <c r="GG204" s="19"/>
      <c r="GH204" s="19"/>
      <c r="GI204" s="19"/>
      <c r="GJ204" s="21"/>
      <c r="GK204" s="19"/>
      <c r="GL204" s="19"/>
      <c r="GM204" s="19"/>
      <c r="GN204" s="19"/>
      <c r="GO204" s="22">
        <v>188.08</v>
      </c>
      <c r="GP204" s="22">
        <v>194.75</v>
      </c>
      <c r="GQ204" s="22"/>
      <c r="GR204" s="22">
        <v>102.52</v>
      </c>
      <c r="GS204" s="22">
        <v>106.62</v>
      </c>
      <c r="GT204" s="22"/>
      <c r="GU204" s="40" t="s">
        <v>654</v>
      </c>
      <c r="GV204" s="19"/>
      <c r="GW204" s="19"/>
      <c r="GX204" s="19"/>
      <c r="GY204" s="19"/>
      <c r="GZ204" s="23"/>
      <c r="HA204" s="22" t="s">
        <v>633</v>
      </c>
      <c r="HB204" s="22" t="s">
        <v>633</v>
      </c>
      <c r="HC204" s="22"/>
      <c r="HD204" s="22" t="s">
        <v>633</v>
      </c>
      <c r="HE204" s="22" t="s">
        <v>633</v>
      </c>
      <c r="HF204" s="22"/>
      <c r="HG204" s="233" t="s">
        <v>633</v>
      </c>
    </row>
    <row r="205" spans="2:215" ht="15.75">
      <c r="B205" s="10" t="s">
        <v>352</v>
      </c>
      <c r="C205" s="81" t="s">
        <v>264</v>
      </c>
      <c r="D205" s="143"/>
      <c r="E205" s="143"/>
      <c r="F205" s="143"/>
      <c r="G205" s="143"/>
      <c r="H205" s="143"/>
      <c r="I205" s="143"/>
      <c r="J205" s="143"/>
      <c r="K205" s="143"/>
      <c r="L205" s="143"/>
      <c r="M205" s="46">
        <f t="shared" si="919"/>
        <v>0</v>
      </c>
      <c r="N205" s="46">
        <f t="shared" si="920"/>
        <v>0</v>
      </c>
      <c r="O205" s="143"/>
      <c r="P205" s="143"/>
      <c r="Q205" s="143"/>
      <c r="R205" s="46">
        <f t="shared" si="921"/>
        <v>0</v>
      </c>
      <c r="S205" s="143"/>
      <c r="T205" s="143"/>
      <c r="U205" s="143"/>
      <c r="V205" s="52"/>
      <c r="W205" s="52"/>
      <c r="X205" s="52"/>
      <c r="Y205" s="141"/>
      <c r="Z205" s="22"/>
      <c r="AA205" s="52"/>
      <c r="AB205" s="22"/>
      <c r="AC205" s="22"/>
      <c r="AD205" s="22"/>
      <c r="AE205" s="22">
        <f t="shared" si="922"/>
        <v>0</v>
      </c>
      <c r="AF205" s="22"/>
      <c r="AG205" s="22">
        <f t="shared" si="889"/>
        <v>0</v>
      </c>
      <c r="AH205" s="22"/>
      <c r="AI205" s="22"/>
      <c r="AJ205" s="52"/>
      <c r="AK205" s="141"/>
      <c r="AL205" s="22"/>
      <c r="AM205" s="52"/>
      <c r="AN205" s="22"/>
      <c r="AO205" s="22"/>
      <c r="AP205" s="22"/>
      <c r="AQ205" s="22"/>
      <c r="AR205" s="22"/>
      <c r="AS205" s="22">
        <f t="shared" si="923"/>
        <v>0</v>
      </c>
      <c r="AT205" s="22"/>
      <c r="AU205" s="22">
        <f t="shared" si="890"/>
        <v>0</v>
      </c>
      <c r="AV205" s="77"/>
      <c r="AW205" s="77">
        <f>+CY205/$CY$184*100</f>
        <v>0</v>
      </c>
      <c r="AX205" s="78"/>
      <c r="AY205" s="22">
        <f t="shared" si="898"/>
        <v>0</v>
      </c>
      <c r="AZ205" s="22"/>
      <c r="BA205" s="22"/>
      <c r="BB205" s="22"/>
      <c r="BC205" s="22"/>
      <c r="BD205" s="22"/>
      <c r="BE205" s="22">
        <f t="shared" si="924"/>
        <v>0</v>
      </c>
      <c r="BF205" s="22"/>
      <c r="BG205" s="22"/>
      <c r="BH205" s="22">
        <f t="shared" si="925"/>
        <v>0</v>
      </c>
      <c r="BI205" s="22"/>
      <c r="BJ205" s="40"/>
      <c r="BK205" s="19">
        <f t="shared" si="812"/>
        <v>0</v>
      </c>
      <c r="BL205" s="19">
        <f t="shared" si="858"/>
        <v>0</v>
      </c>
      <c r="BM205" s="19">
        <f t="shared" si="859"/>
        <v>0</v>
      </c>
      <c r="BN205" s="19">
        <f t="shared" si="860"/>
        <v>0</v>
      </c>
      <c r="BO205" s="19">
        <f t="shared" si="813"/>
        <v>0</v>
      </c>
      <c r="BP205" s="19">
        <f t="shared" si="861"/>
        <v>0</v>
      </c>
      <c r="BQ205" s="19">
        <f t="shared" si="872"/>
        <v>0</v>
      </c>
      <c r="BR205" s="19">
        <f t="shared" si="862"/>
        <v>0</v>
      </c>
      <c r="BS205" s="19">
        <f t="shared" si="815"/>
        <v>0</v>
      </c>
      <c r="BT205" s="19">
        <f t="shared" si="863"/>
        <v>0</v>
      </c>
      <c r="BU205" s="19">
        <f t="shared" si="873"/>
        <v>0</v>
      </c>
      <c r="BV205" s="19">
        <f t="shared" si="864"/>
        <v>0</v>
      </c>
      <c r="BW205" s="19">
        <f t="shared" si="899"/>
        <v>0</v>
      </c>
      <c r="BX205" s="19">
        <f t="shared" si="900"/>
        <v>0</v>
      </c>
      <c r="BY205" s="19">
        <f t="shared" si="901"/>
        <v>0</v>
      </c>
      <c r="BZ205" s="19">
        <f t="shared" si="902"/>
        <v>0</v>
      </c>
      <c r="CA205" s="19">
        <f t="shared" si="903"/>
        <v>0</v>
      </c>
      <c r="CB205" s="19">
        <f t="shared" si="904"/>
        <v>0</v>
      </c>
      <c r="CC205" s="19">
        <f t="shared" si="905"/>
        <v>0</v>
      </c>
      <c r="CD205" s="19">
        <f t="shared" si="906"/>
        <v>0</v>
      </c>
      <c r="CE205" s="48">
        <f t="shared" si="822"/>
        <v>0</v>
      </c>
      <c r="CF205" s="48">
        <f t="shared" si="823"/>
        <v>0</v>
      </c>
      <c r="CG205" s="48">
        <f t="shared" si="824"/>
        <v>0</v>
      </c>
      <c r="CH205" s="48">
        <f t="shared" si="825"/>
        <v>0</v>
      </c>
      <c r="CI205" s="48">
        <f t="shared" si="826"/>
        <v>0</v>
      </c>
      <c r="CJ205" s="48">
        <f t="shared" si="827"/>
        <v>0</v>
      </c>
      <c r="CK205" s="48">
        <f t="shared" si="828"/>
        <v>0</v>
      </c>
      <c r="CL205" s="48">
        <f t="shared" si="829"/>
        <v>0</v>
      </c>
      <c r="CM205" s="48">
        <f t="shared" si="830"/>
        <v>0</v>
      </c>
      <c r="CN205" s="48">
        <f t="shared" si="831"/>
        <v>0</v>
      </c>
      <c r="CO205" s="48">
        <f t="shared" si="832"/>
        <v>0</v>
      </c>
      <c r="CP205" s="48">
        <f t="shared" si="833"/>
        <v>0</v>
      </c>
      <c r="CQ205" s="48">
        <f t="shared" si="834"/>
        <v>0</v>
      </c>
      <c r="CR205" s="48">
        <f t="shared" si="835"/>
        <v>0</v>
      </c>
      <c r="CS205" s="48">
        <f t="shared" si="836"/>
        <v>0</v>
      </c>
      <c r="CT205" s="48">
        <f t="shared" si="837"/>
        <v>0</v>
      </c>
      <c r="CU205" s="48">
        <f t="shared" si="838"/>
        <v>0</v>
      </c>
      <c r="CV205" s="48">
        <f t="shared" si="839"/>
        <v>0</v>
      </c>
      <c r="CW205" s="19">
        <f t="shared" si="907"/>
        <v>0</v>
      </c>
      <c r="CX205" s="19">
        <f t="shared" si="908"/>
        <v>0</v>
      </c>
      <c r="CY205" s="19">
        <f t="shared" si="909"/>
        <v>0</v>
      </c>
      <c r="CZ205" s="19">
        <f t="shared" si="910"/>
        <v>0</v>
      </c>
      <c r="DA205" s="21">
        <f t="shared" si="844"/>
        <v>0</v>
      </c>
      <c r="DB205" s="21">
        <f t="shared" si="845"/>
        <v>0</v>
      </c>
      <c r="DC205" s="79">
        <f t="shared" si="846"/>
        <v>0</v>
      </c>
      <c r="DD205" s="79">
        <f t="shared" si="846"/>
        <v>0</v>
      </c>
      <c r="DE205" s="79">
        <f t="shared" si="911"/>
        <v>0</v>
      </c>
      <c r="DF205" s="79">
        <f t="shared" si="911"/>
        <v>0</v>
      </c>
      <c r="DG205" s="79">
        <f t="shared" si="874"/>
        <v>0</v>
      </c>
      <c r="DH205" s="51">
        <f t="shared" si="848"/>
        <v>0</v>
      </c>
      <c r="DI205" s="39"/>
      <c r="DJ205" s="80">
        <f t="shared" si="849"/>
        <v>0</v>
      </c>
      <c r="DK205" s="39">
        <f t="shared" si="850"/>
        <v>0</v>
      </c>
      <c r="DL205" s="39">
        <f t="shared" si="851"/>
        <v>0</v>
      </c>
      <c r="DM205" s="48">
        <f>+AT205-'[2]тарифы (12-13) население 15%'!AP249</f>
        <v>0</v>
      </c>
      <c r="DN205" s="39"/>
      <c r="DO205" s="39"/>
      <c r="DP205" s="39"/>
      <c r="DQ205" s="39"/>
      <c r="DR205" s="39"/>
      <c r="DS205" s="39"/>
      <c r="DT205" s="39"/>
      <c r="DU205" s="19">
        <f t="shared" si="926"/>
        <v>0</v>
      </c>
      <c r="DV205" s="40">
        <f t="shared" si="912"/>
        <v>0</v>
      </c>
      <c r="DW205" s="40">
        <f t="shared" si="913"/>
        <v>0</v>
      </c>
      <c r="DX205" s="46"/>
      <c r="DY205" s="21">
        <f t="shared" si="914"/>
        <v>0</v>
      </c>
      <c r="DZ205" s="19">
        <f t="shared" si="915"/>
        <v>0</v>
      </c>
      <c r="EA205" s="19">
        <f t="shared" si="916"/>
        <v>0</v>
      </c>
      <c r="EB205" s="19"/>
      <c r="EC205" s="48">
        <f t="shared" si="879"/>
        <v>0</v>
      </c>
      <c r="ED205" s="48">
        <f t="shared" si="880"/>
        <v>0</v>
      </c>
      <c r="EE205" s="22"/>
      <c r="EF205" s="22"/>
      <c r="EG205" s="22">
        <f t="shared" si="917"/>
        <v>0</v>
      </c>
      <c r="EH205" s="22"/>
      <c r="EI205" s="22"/>
      <c r="EJ205" s="22">
        <f t="shared" si="918"/>
        <v>0</v>
      </c>
      <c r="EK205" s="40"/>
      <c r="EL205" s="19"/>
      <c r="EM205" s="19"/>
      <c r="EN205" s="40">
        <f t="shared" si="891"/>
        <v>0</v>
      </c>
      <c r="EO205" s="40">
        <f t="shared" si="892"/>
        <v>0</v>
      </c>
      <c r="EP205" s="40"/>
      <c r="EQ205" s="21">
        <f t="shared" si="888"/>
        <v>0</v>
      </c>
      <c r="ER205" s="21"/>
      <c r="ES205" s="21">
        <f t="shared" si="881"/>
        <v>0</v>
      </c>
      <c r="ET205" s="21"/>
      <c r="EU205" s="19">
        <f t="shared" si="893"/>
        <v>0</v>
      </c>
      <c r="EV205" s="21"/>
      <c r="EW205" s="39"/>
      <c r="EX205" s="39">
        <f t="shared" si="882"/>
        <v>0</v>
      </c>
      <c r="EY205" s="39">
        <f t="shared" si="867"/>
        <v>0</v>
      </c>
      <c r="EZ205" s="39"/>
      <c r="FA205" s="39"/>
      <c r="FB205" s="39"/>
      <c r="FC205" s="39"/>
      <c r="FD205" s="39"/>
      <c r="FE205" s="39"/>
      <c r="FF205" s="39"/>
      <c r="FG205" s="39"/>
      <c r="FH205" s="39"/>
      <c r="FI205" s="39"/>
      <c r="FJ205" s="19">
        <f t="shared" si="894"/>
        <v>0</v>
      </c>
      <c r="FK205" s="19">
        <f t="shared" si="895"/>
        <v>0</v>
      </c>
      <c r="FL205" s="19">
        <f t="shared" si="896"/>
        <v>0</v>
      </c>
      <c r="FM205" s="19"/>
      <c r="FN205" s="19"/>
      <c r="FO205" s="22"/>
      <c r="FP205" s="22"/>
      <c r="FQ205" s="22"/>
      <c r="FR205" s="22"/>
      <c r="FS205" s="22"/>
      <c r="FT205" s="22"/>
      <c r="FU205" s="40"/>
      <c r="FV205" s="19"/>
      <c r="FW205" s="19"/>
      <c r="FX205" s="19"/>
      <c r="FY205" s="19"/>
      <c r="FZ205" s="19"/>
      <c r="GA205" s="19"/>
      <c r="GB205" s="19"/>
      <c r="GC205" s="20"/>
      <c r="GD205" s="20"/>
      <c r="GE205" s="21"/>
      <c r="GF205" s="21"/>
      <c r="GG205" s="21"/>
      <c r="GH205" s="21"/>
      <c r="GI205" s="21"/>
      <c r="GJ205" s="21"/>
      <c r="GK205" s="21"/>
      <c r="GL205" s="21"/>
      <c r="GM205" s="19"/>
      <c r="GN205" s="19"/>
      <c r="GO205" s="22"/>
      <c r="GP205" s="22"/>
      <c r="GQ205" s="22"/>
      <c r="GR205" s="22"/>
      <c r="GS205" s="22"/>
      <c r="GT205" s="22"/>
      <c r="GU205" s="43"/>
      <c r="GV205" s="19"/>
      <c r="GW205" s="19"/>
      <c r="GX205" s="19"/>
      <c r="GY205" s="19"/>
      <c r="GZ205" s="23"/>
      <c r="HA205" s="22"/>
      <c r="HB205" s="22"/>
      <c r="HC205" s="22"/>
      <c r="HD205" s="22"/>
      <c r="HE205" s="22"/>
      <c r="HF205" s="22"/>
      <c r="HG205" s="233"/>
    </row>
    <row r="206" spans="2:215" ht="15.75">
      <c r="B206" s="10"/>
      <c r="C206" s="184" t="s">
        <v>325</v>
      </c>
      <c r="D206" s="143">
        <f>+E206+I206</f>
        <v>9356</v>
      </c>
      <c r="E206" s="143">
        <v>3396</v>
      </c>
      <c r="F206" s="74" t="e">
        <f>+E206*#REF!</f>
        <v>#REF!</v>
      </c>
      <c r="G206" s="74" t="e">
        <f>+E206*#REF!</f>
        <v>#REF!</v>
      </c>
      <c r="H206" s="74" t="e">
        <f>+E206*#REF!</f>
        <v>#REF!</v>
      </c>
      <c r="I206" s="143">
        <f>306+5654</f>
        <v>5960</v>
      </c>
      <c r="J206" s="74" t="e">
        <f>+I206*#REF!</f>
        <v>#REF!</v>
      </c>
      <c r="K206" s="74" t="e">
        <f>+I206*#REF!</f>
        <v>#REF!</v>
      </c>
      <c r="L206" s="74" t="e">
        <f>+I206*#REF!</f>
        <v>#REF!</v>
      </c>
      <c r="M206" s="46">
        <f t="shared" si="919"/>
        <v>9356</v>
      </c>
      <c r="N206" s="46">
        <f t="shared" si="920"/>
        <v>3396</v>
      </c>
      <c r="O206" s="74">
        <v>1698</v>
      </c>
      <c r="P206" s="74"/>
      <c r="Q206" s="74">
        <v>1698</v>
      </c>
      <c r="R206" s="46">
        <f t="shared" si="921"/>
        <v>5960</v>
      </c>
      <c r="S206" s="74">
        <v>2980</v>
      </c>
      <c r="T206" s="74"/>
      <c r="U206" s="74">
        <v>2980</v>
      </c>
      <c r="V206" s="52"/>
      <c r="W206" s="52"/>
      <c r="X206" s="52"/>
      <c r="Y206" s="141"/>
      <c r="Z206" s="22"/>
      <c r="AA206" s="52">
        <v>42.38</v>
      </c>
      <c r="AB206" s="22"/>
      <c r="AC206" s="22">
        <v>42.38</v>
      </c>
      <c r="AD206" s="22">
        <v>42.38</v>
      </c>
      <c r="AE206" s="22">
        <f>+IF(AC206=0,,AF206/AC206*100)</f>
        <v>110.47663992449269</v>
      </c>
      <c r="AF206" s="22">
        <v>46.82</v>
      </c>
      <c r="AG206" s="22">
        <f t="shared" si="889"/>
        <v>110.47663992449269</v>
      </c>
      <c r="AH206" s="52"/>
      <c r="AI206" s="52"/>
      <c r="AJ206" s="52"/>
      <c r="AK206" s="52"/>
      <c r="AL206" s="22"/>
      <c r="AM206" s="52">
        <v>50.01</v>
      </c>
      <c r="AN206" s="22"/>
      <c r="AO206" s="22"/>
      <c r="AP206" s="22"/>
      <c r="AQ206" s="22">
        <v>50.01</v>
      </c>
      <c r="AR206" s="22">
        <v>50.01</v>
      </c>
      <c r="AS206" s="22">
        <f>+IF(AQ206=0,,AT206/AQ206*100)</f>
        <v>110.47790441911619</v>
      </c>
      <c r="AT206" s="22">
        <v>55.25</v>
      </c>
      <c r="AU206" s="22">
        <f t="shared" si="890"/>
        <v>110.47790441911619</v>
      </c>
      <c r="AV206" s="77"/>
      <c r="AW206" s="77">
        <f>+CY206/$CY$184*100</f>
        <v>100</v>
      </c>
      <c r="AX206" s="78" t="s">
        <v>265</v>
      </c>
      <c r="AY206" s="22">
        <f t="shared" si="898"/>
        <v>0</v>
      </c>
      <c r="AZ206" s="22"/>
      <c r="BA206" s="22"/>
      <c r="BB206" s="22"/>
      <c r="BC206" s="22"/>
      <c r="BD206" s="22"/>
      <c r="BE206" s="22">
        <f t="shared" si="924"/>
        <v>0</v>
      </c>
      <c r="BF206" s="22"/>
      <c r="BG206" s="22"/>
      <c r="BH206" s="22">
        <f t="shared" si="925"/>
        <v>0</v>
      </c>
      <c r="BI206" s="22"/>
      <c r="BJ206" s="40"/>
      <c r="BK206" s="19">
        <f t="shared" si="812"/>
        <v>0</v>
      </c>
      <c r="BL206" s="19">
        <f t="shared" si="858"/>
        <v>0</v>
      </c>
      <c r="BM206" s="19">
        <f t="shared" si="859"/>
        <v>0</v>
      </c>
      <c r="BN206" s="19">
        <f t="shared" si="860"/>
        <v>0</v>
      </c>
      <c r="BO206" s="19">
        <f t="shared" si="813"/>
        <v>0</v>
      </c>
      <c r="BP206" s="19">
        <f t="shared" si="861"/>
        <v>0</v>
      </c>
      <c r="BQ206" s="19">
        <f t="shared" si="872"/>
        <v>0</v>
      </c>
      <c r="BR206" s="19">
        <f t="shared" si="862"/>
        <v>0</v>
      </c>
      <c r="BS206" s="19">
        <f t="shared" si="815"/>
        <v>396.51188474576276</v>
      </c>
      <c r="BT206" s="19">
        <f t="shared" si="863"/>
        <v>143.92708474576273</v>
      </c>
      <c r="BU206" s="19">
        <f t="shared" si="873"/>
        <v>0</v>
      </c>
      <c r="BV206" s="19">
        <f t="shared" si="864"/>
        <v>252.58480000000003</v>
      </c>
      <c r="BW206" s="19">
        <f t="shared" si="899"/>
        <v>396.51188474576276</v>
      </c>
      <c r="BX206" s="19">
        <f t="shared" si="900"/>
        <v>143.92708474576273</v>
      </c>
      <c r="BY206" s="19">
        <f t="shared" si="901"/>
        <v>0</v>
      </c>
      <c r="BZ206" s="19">
        <f t="shared" si="902"/>
        <v>252.58480000000003</v>
      </c>
      <c r="CA206" s="19">
        <f t="shared" si="903"/>
        <v>438.05482711864408</v>
      </c>
      <c r="CB206" s="19">
        <f t="shared" si="904"/>
        <v>159.00762711864408</v>
      </c>
      <c r="CC206" s="19">
        <f t="shared" si="905"/>
        <v>0</v>
      </c>
      <c r="CD206" s="19">
        <f t="shared" si="906"/>
        <v>279.04720000000003</v>
      </c>
      <c r="CE206" s="48">
        <f t="shared" si="822"/>
        <v>0</v>
      </c>
      <c r="CF206" s="48">
        <f t="shared" si="823"/>
        <v>0</v>
      </c>
      <c r="CG206" s="48">
        <f t="shared" si="824"/>
        <v>42.38000000000001</v>
      </c>
      <c r="CH206" s="48">
        <f t="shared" si="825"/>
        <v>0</v>
      </c>
      <c r="CI206" s="48">
        <f t="shared" si="826"/>
        <v>0</v>
      </c>
      <c r="CJ206" s="48">
        <f t="shared" si="827"/>
        <v>50.01</v>
      </c>
      <c r="CK206" s="48">
        <f t="shared" si="828"/>
        <v>0</v>
      </c>
      <c r="CL206" s="48">
        <f t="shared" si="829"/>
        <v>0</v>
      </c>
      <c r="CM206" s="48">
        <f t="shared" si="830"/>
        <v>42.380492170346599</v>
      </c>
      <c r="CN206" s="48">
        <f t="shared" si="831"/>
        <v>14.126830723448865</v>
      </c>
      <c r="CO206" s="48">
        <f t="shared" si="832"/>
        <v>42.38000000000001</v>
      </c>
      <c r="CP206" s="48">
        <f t="shared" si="833"/>
        <v>46.820000000000007</v>
      </c>
      <c r="CQ206" s="48">
        <f t="shared" si="834"/>
        <v>50.01</v>
      </c>
      <c r="CR206" s="48">
        <f t="shared" si="835"/>
        <v>55.25</v>
      </c>
      <c r="CS206" s="48">
        <f t="shared" si="836"/>
        <v>42.380492170346599</v>
      </c>
      <c r="CT206" s="48">
        <f t="shared" si="837"/>
        <v>46.820738255519892</v>
      </c>
      <c r="CU206" s="48">
        <f t="shared" si="838"/>
        <v>44.600615212933242</v>
      </c>
      <c r="CV206" s="48">
        <f t="shared" si="839"/>
        <v>315.71564837187088</v>
      </c>
      <c r="CW206" s="19" t="e">
        <f t="shared" si="907"/>
        <v>#REF!</v>
      </c>
      <c r="CX206" s="19" t="e">
        <f t="shared" si="908"/>
        <v>#REF!</v>
      </c>
      <c r="CY206" s="19">
        <f t="shared" si="909"/>
        <v>151.46735593220342</v>
      </c>
      <c r="CZ206" s="19">
        <f t="shared" si="910"/>
        <v>151.4616</v>
      </c>
      <c r="DA206" s="21" t="e">
        <f t="shared" si="844"/>
        <v>#REF!</v>
      </c>
      <c r="DB206" s="21">
        <f t="shared" si="845"/>
        <v>100.0038002584176</v>
      </c>
      <c r="DC206" s="79" t="e">
        <f t="shared" si="846"/>
        <v>#REF!</v>
      </c>
      <c r="DD206" s="79" t="e">
        <f t="shared" si="846"/>
        <v>#REF!</v>
      </c>
      <c r="DE206" s="79">
        <f t="shared" si="911"/>
        <v>198.25364000000002</v>
      </c>
      <c r="DF206" s="79">
        <f t="shared" si="911"/>
        <v>0</v>
      </c>
      <c r="DG206" s="79">
        <f t="shared" si="874"/>
        <v>219.02395999999999</v>
      </c>
      <c r="DH206" s="51">
        <f t="shared" si="848"/>
        <v>417.27760000000001</v>
      </c>
      <c r="DI206" s="39"/>
      <c r="DJ206" s="80" t="e">
        <f t="shared" si="849"/>
        <v>#REF!</v>
      </c>
      <c r="DK206" s="39" t="e">
        <f t="shared" si="850"/>
        <v>#REF!</v>
      </c>
      <c r="DL206" s="39" t="e">
        <f t="shared" si="851"/>
        <v>#REF!</v>
      </c>
      <c r="DM206" s="48">
        <f>+AT206-'[2]тарифы (12-13) население 15%'!AP250</f>
        <v>0</v>
      </c>
      <c r="DN206" s="39"/>
      <c r="DO206" s="39"/>
      <c r="DP206" s="39"/>
      <c r="DQ206" s="39"/>
      <c r="DR206" s="39"/>
      <c r="DS206" s="39"/>
      <c r="DT206" s="39"/>
      <c r="DU206" s="19">
        <f t="shared" si="926"/>
        <v>0</v>
      </c>
      <c r="DV206" s="40">
        <f t="shared" si="912"/>
        <v>0</v>
      </c>
      <c r="DW206" s="40">
        <f t="shared" si="913"/>
        <v>0</v>
      </c>
      <c r="DX206" s="46"/>
      <c r="DY206" s="21">
        <f t="shared" si="914"/>
        <v>0</v>
      </c>
      <c r="DZ206" s="19">
        <f t="shared" si="915"/>
        <v>0</v>
      </c>
      <c r="EA206" s="19">
        <f t="shared" si="916"/>
        <v>0</v>
      </c>
      <c r="EB206" s="19"/>
      <c r="EC206" s="48">
        <f t="shared" si="879"/>
        <v>0</v>
      </c>
      <c r="ED206" s="48">
        <f t="shared" si="880"/>
        <v>0</v>
      </c>
      <c r="EE206" s="22"/>
      <c r="EF206" s="22"/>
      <c r="EG206" s="22">
        <f t="shared" si="917"/>
        <v>0</v>
      </c>
      <c r="EH206" s="22"/>
      <c r="EI206" s="22"/>
      <c r="EJ206" s="22">
        <f t="shared" si="918"/>
        <v>0</v>
      </c>
      <c r="EK206" s="40"/>
      <c r="EL206" s="19"/>
      <c r="EM206" s="19"/>
      <c r="EN206" s="40">
        <f t="shared" si="891"/>
        <v>0</v>
      </c>
      <c r="EO206" s="40">
        <f t="shared" si="892"/>
        <v>0</v>
      </c>
      <c r="EP206" s="40"/>
      <c r="EQ206" s="21">
        <f t="shared" si="888"/>
        <v>0</v>
      </c>
      <c r="ER206" s="21"/>
      <c r="ES206" s="21">
        <f t="shared" si="881"/>
        <v>0</v>
      </c>
      <c r="ET206" s="21"/>
      <c r="EU206" s="19">
        <f t="shared" si="893"/>
        <v>0</v>
      </c>
      <c r="EV206" s="21"/>
      <c r="EW206" s="39"/>
      <c r="EX206" s="39">
        <f t="shared" si="882"/>
        <v>0</v>
      </c>
      <c r="EY206" s="39">
        <f t="shared" si="867"/>
        <v>0</v>
      </c>
      <c r="EZ206" s="39"/>
      <c r="FA206" s="39"/>
      <c r="FB206" s="39"/>
      <c r="FC206" s="39"/>
      <c r="FD206" s="39"/>
      <c r="FE206" s="39"/>
      <c r="FF206" s="39"/>
      <c r="FG206" s="39"/>
      <c r="FH206" s="39"/>
      <c r="FI206" s="39"/>
      <c r="FJ206" s="19">
        <f t="shared" si="894"/>
        <v>0</v>
      </c>
      <c r="FK206" s="19">
        <f t="shared" si="895"/>
        <v>0</v>
      </c>
      <c r="FL206" s="19">
        <f t="shared" si="896"/>
        <v>0</v>
      </c>
      <c r="FM206" s="19">
        <v>7.4</v>
      </c>
      <c r="FN206" s="19">
        <v>3</v>
      </c>
      <c r="FO206" s="22">
        <v>34.549999999999997</v>
      </c>
      <c r="FP206" s="22">
        <v>39.42</v>
      </c>
      <c r="FQ206" s="22"/>
      <c r="FR206" s="22">
        <v>40.770000000000003</v>
      </c>
      <c r="FS206" s="22">
        <v>47.18</v>
      </c>
      <c r="FT206" s="22"/>
      <c r="FU206" s="40" t="s">
        <v>679</v>
      </c>
      <c r="FV206" s="19"/>
      <c r="FW206" s="19"/>
      <c r="FX206" s="19"/>
      <c r="FY206" s="19"/>
      <c r="FZ206" s="19"/>
      <c r="GA206" s="19"/>
      <c r="GB206" s="19"/>
      <c r="GC206" s="20"/>
      <c r="GD206" s="20"/>
      <c r="GE206" s="21"/>
      <c r="GF206" s="21"/>
      <c r="GG206" s="21"/>
      <c r="GH206" s="21"/>
      <c r="GI206" s="21"/>
      <c r="GJ206" s="21"/>
      <c r="GK206" s="21"/>
      <c r="GL206" s="21"/>
      <c r="GM206" s="19"/>
      <c r="GN206" s="19"/>
      <c r="GO206" s="22" t="s">
        <v>633</v>
      </c>
      <c r="GP206" s="22" t="s">
        <v>633</v>
      </c>
      <c r="GQ206" s="22"/>
      <c r="GR206" s="22" t="s">
        <v>633</v>
      </c>
      <c r="GS206" s="22" t="s">
        <v>633</v>
      </c>
      <c r="GT206" s="22"/>
      <c r="GU206" s="43" t="s">
        <v>633</v>
      </c>
      <c r="GV206" s="19"/>
      <c r="GW206" s="19"/>
      <c r="GX206" s="19"/>
      <c r="GY206" s="19"/>
      <c r="GZ206" s="23"/>
      <c r="HA206" s="22" t="s">
        <v>633</v>
      </c>
      <c r="HB206" s="22" t="s">
        <v>633</v>
      </c>
      <c r="HC206" s="22"/>
      <c r="HD206" s="22" t="s">
        <v>633</v>
      </c>
      <c r="HE206" s="22" t="s">
        <v>633</v>
      </c>
      <c r="HF206" s="22"/>
      <c r="HG206" s="233" t="s">
        <v>633</v>
      </c>
    </row>
    <row r="207" spans="2:215" ht="15.75">
      <c r="B207" s="15"/>
      <c r="C207" s="81" t="s">
        <v>639</v>
      </c>
      <c r="D207" s="143"/>
      <c r="E207" s="143"/>
      <c r="F207" s="74"/>
      <c r="G207" s="74"/>
      <c r="H207" s="74"/>
      <c r="I207" s="143"/>
      <c r="J207" s="74"/>
      <c r="K207" s="74"/>
      <c r="L207" s="74"/>
      <c r="M207" s="46"/>
      <c r="N207" s="46"/>
      <c r="O207" s="74"/>
      <c r="P207" s="74"/>
      <c r="Q207" s="74"/>
      <c r="R207" s="46"/>
      <c r="S207" s="74"/>
      <c r="T207" s="74"/>
      <c r="U207" s="74"/>
      <c r="V207" s="52"/>
      <c r="W207" s="52"/>
      <c r="X207" s="52"/>
      <c r="Y207" s="141"/>
      <c r="Z207" s="22"/>
      <c r="AA207" s="52"/>
      <c r="AB207" s="22"/>
      <c r="AC207" s="22"/>
      <c r="AD207" s="22"/>
      <c r="AE207" s="22"/>
      <c r="AF207" s="22"/>
      <c r="AG207" s="22"/>
      <c r="AH207" s="52"/>
      <c r="AI207" s="52"/>
      <c r="AJ207" s="52"/>
      <c r="AK207" s="52"/>
      <c r="AL207" s="22"/>
      <c r="AM207" s="52"/>
      <c r="AN207" s="22"/>
      <c r="AO207" s="22"/>
      <c r="AP207" s="22"/>
      <c r="AQ207" s="22"/>
      <c r="AR207" s="22"/>
      <c r="AS207" s="22"/>
      <c r="AT207" s="22"/>
      <c r="AU207" s="22"/>
      <c r="AV207" s="77"/>
      <c r="AW207" s="77"/>
      <c r="AX207" s="78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40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19"/>
      <c r="CX207" s="19"/>
      <c r="CY207" s="19"/>
      <c r="CZ207" s="19"/>
      <c r="DA207" s="21"/>
      <c r="DB207" s="21"/>
      <c r="DC207" s="79"/>
      <c r="DD207" s="79"/>
      <c r="DE207" s="79"/>
      <c r="DF207" s="79"/>
      <c r="DG207" s="79"/>
      <c r="DH207" s="51"/>
      <c r="DI207" s="39"/>
      <c r="DJ207" s="80"/>
      <c r="DK207" s="39"/>
      <c r="DL207" s="39"/>
      <c r="DM207" s="48"/>
      <c r="DN207" s="39"/>
      <c r="DO207" s="39"/>
      <c r="DP207" s="39"/>
      <c r="DQ207" s="39"/>
      <c r="DR207" s="39"/>
      <c r="DS207" s="39"/>
      <c r="DT207" s="39"/>
      <c r="DU207" s="19"/>
      <c r="DV207" s="40"/>
      <c r="DW207" s="40"/>
      <c r="DX207" s="46"/>
      <c r="DY207" s="21"/>
      <c r="DZ207" s="19"/>
      <c r="EA207" s="19"/>
      <c r="EB207" s="19"/>
      <c r="EC207" s="48"/>
      <c r="ED207" s="48"/>
      <c r="EE207" s="22"/>
      <c r="EF207" s="22"/>
      <c r="EG207" s="22"/>
      <c r="EH207" s="22"/>
      <c r="EI207" s="22"/>
      <c r="EJ207" s="22"/>
      <c r="EK207" s="40"/>
      <c r="EL207" s="19"/>
      <c r="EM207" s="19"/>
      <c r="EN207" s="40"/>
      <c r="EO207" s="40"/>
      <c r="EP207" s="40"/>
      <c r="EQ207" s="21"/>
      <c r="ER207" s="21"/>
      <c r="ES207" s="21"/>
      <c r="ET207" s="21"/>
      <c r="EU207" s="19"/>
      <c r="EV207" s="21"/>
      <c r="EW207" s="39"/>
      <c r="EX207" s="39"/>
      <c r="EY207" s="39"/>
      <c r="EZ207" s="39"/>
      <c r="FA207" s="39"/>
      <c r="FB207" s="39"/>
      <c r="FC207" s="39"/>
      <c r="FD207" s="39"/>
      <c r="FE207" s="39"/>
      <c r="FF207" s="39"/>
      <c r="FG207" s="39"/>
      <c r="FH207" s="39"/>
      <c r="FI207" s="39"/>
      <c r="FJ207" s="19"/>
      <c r="FK207" s="19"/>
      <c r="FL207" s="19"/>
      <c r="FM207" s="19"/>
      <c r="FN207" s="19"/>
      <c r="FO207" s="22"/>
      <c r="FP207" s="22"/>
      <c r="FQ207" s="22"/>
      <c r="FR207" s="22"/>
      <c r="FS207" s="22"/>
      <c r="FT207" s="22"/>
      <c r="FU207" s="40"/>
      <c r="FV207" s="19"/>
      <c r="FW207" s="19"/>
      <c r="FX207" s="19"/>
      <c r="FY207" s="19"/>
      <c r="FZ207" s="19"/>
      <c r="GA207" s="19"/>
      <c r="GB207" s="19"/>
      <c r="GC207" s="20"/>
      <c r="GD207" s="20"/>
      <c r="GE207" s="21"/>
      <c r="GF207" s="21"/>
      <c r="GG207" s="21"/>
      <c r="GH207" s="21"/>
      <c r="GI207" s="21"/>
      <c r="GJ207" s="21"/>
      <c r="GK207" s="21"/>
      <c r="GL207" s="21"/>
      <c r="GM207" s="19"/>
      <c r="GN207" s="19"/>
      <c r="GO207" s="22"/>
      <c r="GP207" s="22"/>
      <c r="GQ207" s="22"/>
      <c r="GR207" s="22"/>
      <c r="GS207" s="22"/>
      <c r="GT207" s="22"/>
      <c r="GU207" s="43"/>
      <c r="GV207" s="19"/>
      <c r="GW207" s="19"/>
      <c r="GX207" s="19"/>
      <c r="GY207" s="19"/>
      <c r="GZ207" s="23"/>
      <c r="HA207" s="22"/>
      <c r="HB207" s="22"/>
      <c r="HC207" s="22"/>
      <c r="HD207" s="22"/>
      <c r="HE207" s="22"/>
      <c r="HF207" s="22"/>
      <c r="HG207" s="233"/>
    </row>
    <row r="208" spans="2:215" ht="16.149999999999999" customHeight="1" thickBot="1">
      <c r="B208" s="15"/>
      <c r="C208" s="184" t="s">
        <v>640</v>
      </c>
      <c r="D208" s="76"/>
      <c r="E208" s="173"/>
      <c r="F208" s="74"/>
      <c r="G208" s="74"/>
      <c r="H208" s="74"/>
      <c r="I208" s="173"/>
      <c r="J208" s="173"/>
      <c r="K208" s="173"/>
      <c r="L208" s="173"/>
      <c r="M208" s="173"/>
      <c r="N208" s="173"/>
      <c r="O208" s="74"/>
      <c r="P208" s="74"/>
      <c r="Q208" s="74"/>
      <c r="R208" s="173"/>
      <c r="S208" s="173"/>
      <c r="T208" s="173"/>
      <c r="U208" s="173"/>
      <c r="V208" s="22"/>
      <c r="W208" s="22"/>
      <c r="X208" s="5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52"/>
      <c r="AK208" s="22"/>
      <c r="AL208" s="22"/>
      <c r="AM208" s="22"/>
      <c r="AN208" s="22"/>
      <c r="AO208" s="22"/>
      <c r="AP208" s="22"/>
      <c r="AQ208" s="22"/>
      <c r="AR208" s="22"/>
      <c r="AS208" s="22"/>
      <c r="AT208" s="22"/>
      <c r="AU208" s="22"/>
      <c r="AV208" s="77"/>
      <c r="AW208" s="77"/>
      <c r="AX208" s="78"/>
      <c r="AY208" s="22"/>
      <c r="AZ208" s="22"/>
      <c r="BA208" s="22"/>
      <c r="BB208" s="22"/>
      <c r="BC208" s="22"/>
      <c r="BD208" s="22"/>
      <c r="BE208" s="22"/>
      <c r="BF208" s="22"/>
      <c r="BG208" s="22"/>
      <c r="BH208" s="22"/>
      <c r="BI208" s="22"/>
      <c r="BJ208" s="40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19"/>
      <c r="CX208" s="19"/>
      <c r="CY208" s="19"/>
      <c r="CZ208" s="19"/>
      <c r="DA208" s="21"/>
      <c r="DB208" s="21"/>
      <c r="DC208" s="79"/>
      <c r="DD208" s="79"/>
      <c r="DE208" s="79"/>
      <c r="DF208" s="79"/>
      <c r="DG208" s="79"/>
      <c r="DH208" s="51"/>
      <c r="DI208" s="39"/>
      <c r="DJ208" s="80"/>
      <c r="DK208" s="39"/>
      <c r="DL208" s="39"/>
      <c r="DM208" s="48"/>
      <c r="DN208" s="39"/>
      <c r="DO208" s="39"/>
      <c r="DP208" s="39"/>
      <c r="DQ208" s="39"/>
      <c r="DR208" s="39"/>
      <c r="DS208" s="39"/>
      <c r="DT208" s="39"/>
      <c r="DU208" s="19"/>
      <c r="DV208" s="40"/>
      <c r="DW208" s="40"/>
      <c r="DX208" s="21"/>
      <c r="DY208" s="21"/>
      <c r="DZ208" s="19"/>
      <c r="EA208" s="19"/>
      <c r="EB208" s="19"/>
      <c r="EC208" s="48"/>
      <c r="ED208" s="48"/>
      <c r="EE208" s="22"/>
      <c r="EF208" s="22"/>
      <c r="EG208" s="22"/>
      <c r="EH208" s="22"/>
      <c r="EI208" s="22"/>
      <c r="EJ208" s="22"/>
      <c r="EK208" s="40"/>
      <c r="EL208" s="19"/>
      <c r="EM208" s="19"/>
      <c r="EN208" s="40"/>
      <c r="EO208" s="40"/>
      <c r="EP208" s="40"/>
      <c r="EQ208" s="21"/>
      <c r="ER208" s="21"/>
      <c r="ES208" s="21"/>
      <c r="ET208" s="21"/>
      <c r="EU208" s="19"/>
      <c r="EV208" s="21"/>
      <c r="EW208" s="39"/>
      <c r="EX208" s="39"/>
      <c r="EY208" s="39"/>
      <c r="EZ208" s="39"/>
      <c r="FA208" s="39"/>
      <c r="FB208" s="39"/>
      <c r="FC208" s="39"/>
      <c r="FD208" s="39"/>
      <c r="FE208" s="39"/>
      <c r="FF208" s="39"/>
      <c r="FG208" s="39"/>
      <c r="FH208" s="39"/>
      <c r="FI208" s="39"/>
      <c r="FJ208" s="19"/>
      <c r="FK208" s="19"/>
      <c r="FL208" s="19"/>
      <c r="FM208" s="19"/>
      <c r="FN208" s="19"/>
      <c r="FO208" s="22">
        <v>288.14</v>
      </c>
      <c r="FP208" s="22">
        <v>295.93</v>
      </c>
      <c r="FQ208" s="22"/>
      <c r="FR208" s="22">
        <v>288.14</v>
      </c>
      <c r="FS208" s="22">
        <v>295.93</v>
      </c>
      <c r="FT208" s="22"/>
      <c r="FU208" s="40" t="s">
        <v>628</v>
      </c>
      <c r="FV208" s="19"/>
      <c r="FW208" s="19"/>
      <c r="FX208" s="19"/>
      <c r="FY208" s="19"/>
      <c r="FZ208" s="19"/>
      <c r="GA208" s="19"/>
      <c r="GB208" s="19"/>
      <c r="GC208" s="20"/>
      <c r="GD208" s="20"/>
      <c r="GE208" s="21"/>
      <c r="GF208" s="21"/>
      <c r="GG208" s="21"/>
      <c r="GH208" s="21"/>
      <c r="GI208" s="21"/>
      <c r="GJ208" s="21"/>
      <c r="GK208" s="21"/>
      <c r="GL208" s="21"/>
      <c r="GM208" s="19"/>
      <c r="GN208" s="19"/>
      <c r="GO208" s="57">
        <v>295.93</v>
      </c>
      <c r="GP208" s="57">
        <v>303.45999999999998</v>
      </c>
      <c r="GQ208" s="57"/>
      <c r="GR208" s="57">
        <v>295.93</v>
      </c>
      <c r="GS208" s="57">
        <v>303.45999999999998</v>
      </c>
      <c r="GT208" s="22"/>
      <c r="GU208" s="40" t="s">
        <v>628</v>
      </c>
      <c r="GV208" s="19"/>
      <c r="GW208" s="19"/>
      <c r="GX208" s="19"/>
      <c r="GY208" s="19"/>
      <c r="GZ208" s="19"/>
      <c r="HA208" s="22">
        <v>303.45999999999998</v>
      </c>
      <c r="HB208" s="22">
        <v>312.8</v>
      </c>
      <c r="HC208" s="22"/>
      <c r="HD208" s="22">
        <v>303.45999999999998</v>
      </c>
      <c r="HE208" s="22">
        <v>312.8</v>
      </c>
      <c r="HF208" s="22"/>
      <c r="HG208" s="236" t="s">
        <v>628</v>
      </c>
    </row>
    <row r="209" spans="2:215" ht="16.5" thickBot="1">
      <c r="B209" s="7" t="s">
        <v>353</v>
      </c>
      <c r="C209" s="80" t="s">
        <v>354</v>
      </c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>
        <f t="shared" ref="X209:X257" si="927">+IF(V209=0,,W209/V209*100)</f>
        <v>0</v>
      </c>
      <c r="Y209" s="80"/>
      <c r="Z209" s="80">
        <f t="shared" si="852"/>
        <v>0</v>
      </c>
      <c r="AA209" s="80"/>
      <c r="AB209" s="80">
        <f t="shared" si="853"/>
        <v>0</v>
      </c>
      <c r="AC209" s="80"/>
      <c r="AD209" s="80"/>
      <c r="AE209" s="80">
        <f t="shared" si="922"/>
        <v>0</v>
      </c>
      <c r="AF209" s="80"/>
      <c r="AG209" s="80">
        <f>+IF(AC209=0,,AF209/AC209*100)</f>
        <v>0</v>
      </c>
      <c r="AH209" s="80"/>
      <c r="AI209" s="80"/>
      <c r="AJ209" s="80">
        <f t="shared" si="854"/>
        <v>0</v>
      </c>
      <c r="AK209" s="80"/>
      <c r="AL209" s="80">
        <f t="shared" si="855"/>
        <v>0</v>
      </c>
      <c r="AM209" s="80"/>
      <c r="AN209" s="80">
        <f t="shared" si="856"/>
        <v>0</v>
      </c>
      <c r="AO209" s="80">
        <f t="shared" ref="AO209:AO257" si="928">+IF(V209=0,,AA209/V209*100)</f>
        <v>0</v>
      </c>
      <c r="AP209" s="80">
        <f t="shared" si="857"/>
        <v>0</v>
      </c>
      <c r="AQ209" s="80"/>
      <c r="AR209" s="80"/>
      <c r="AS209" s="80">
        <f t="shared" si="923"/>
        <v>0</v>
      </c>
      <c r="AT209" s="80"/>
      <c r="AU209" s="80">
        <f>+IF(AQ209=0,,AT209/AQ209*100)</f>
        <v>0</v>
      </c>
      <c r="AV209" s="77"/>
      <c r="AW209" s="77" t="e">
        <f>+CY209/$CY$209*100</f>
        <v>#DIV/0!</v>
      </c>
      <c r="AX209" s="78"/>
      <c r="AY209" s="80">
        <f t="shared" si="898"/>
        <v>0</v>
      </c>
      <c r="AZ209" s="80"/>
      <c r="BA209" s="80"/>
      <c r="BB209" s="80"/>
      <c r="BC209" s="80"/>
      <c r="BD209" s="80"/>
      <c r="BE209" s="22">
        <f t="shared" si="924"/>
        <v>0</v>
      </c>
      <c r="BF209" s="80"/>
      <c r="BG209" s="80"/>
      <c r="BH209" s="22">
        <f t="shared" si="925"/>
        <v>0</v>
      </c>
      <c r="BI209" s="22"/>
      <c r="BJ209" s="40"/>
      <c r="BK209" s="80">
        <f t="shared" si="812"/>
        <v>0</v>
      </c>
      <c r="BL209" s="80">
        <f t="shared" si="858"/>
        <v>0</v>
      </c>
      <c r="BM209" s="80">
        <f t="shared" si="859"/>
        <v>0</v>
      </c>
      <c r="BN209" s="80">
        <f t="shared" si="860"/>
        <v>0</v>
      </c>
      <c r="BO209" s="80">
        <f t="shared" si="813"/>
        <v>0</v>
      </c>
      <c r="BP209" s="80">
        <f t="shared" si="861"/>
        <v>0</v>
      </c>
      <c r="BQ209" s="80">
        <f t="shared" si="872"/>
        <v>0</v>
      </c>
      <c r="BR209" s="80">
        <f t="shared" si="862"/>
        <v>0</v>
      </c>
      <c r="BS209" s="80">
        <f t="shared" si="815"/>
        <v>0</v>
      </c>
      <c r="BT209" s="80">
        <f t="shared" si="863"/>
        <v>0</v>
      </c>
      <c r="BU209" s="80">
        <f t="shared" si="873"/>
        <v>0</v>
      </c>
      <c r="BV209" s="80">
        <f t="shared" si="864"/>
        <v>0</v>
      </c>
      <c r="BW209" s="80"/>
      <c r="BX209" s="48">
        <f>+SUM(BX210:BX217)</f>
        <v>0</v>
      </c>
      <c r="BY209" s="48">
        <f>+SUM(BY210:BY217)</f>
        <v>0</v>
      </c>
      <c r="BZ209" s="80">
        <f>+AC209*R209/1000</f>
        <v>0</v>
      </c>
      <c r="CA209" s="80"/>
      <c r="CB209" s="48">
        <f>+SUM(CB210:CB217)</f>
        <v>0</v>
      </c>
      <c r="CC209" s="48">
        <f>+SUM(CC210:CC217)</f>
        <v>0</v>
      </c>
      <c r="CD209" s="80">
        <f t="shared" si="906"/>
        <v>0</v>
      </c>
      <c r="CE209" s="80">
        <f t="shared" si="822"/>
        <v>0</v>
      </c>
      <c r="CF209" s="80">
        <f t="shared" si="823"/>
        <v>0</v>
      </c>
      <c r="CG209" s="80">
        <f t="shared" si="824"/>
        <v>0</v>
      </c>
      <c r="CH209" s="80">
        <f t="shared" si="825"/>
        <v>0</v>
      </c>
      <c r="CI209" s="80">
        <f t="shared" si="826"/>
        <v>0</v>
      </c>
      <c r="CJ209" s="80">
        <f t="shared" si="827"/>
        <v>0</v>
      </c>
      <c r="CK209" s="80">
        <f t="shared" si="828"/>
        <v>0</v>
      </c>
      <c r="CL209" s="80">
        <f t="shared" si="829"/>
        <v>0</v>
      </c>
      <c r="CM209" s="80">
        <f t="shared" si="830"/>
        <v>0</v>
      </c>
      <c r="CN209" s="80">
        <f t="shared" ref="CN209:CN257" si="929">+IF((D209+D209+D209)=0,,(BK209+BO209+BS209)/(D209+D209+D209))*1000</f>
        <v>0</v>
      </c>
      <c r="CO209" s="80">
        <f t="shared" si="832"/>
        <v>0</v>
      </c>
      <c r="CP209" s="80">
        <f t="shared" si="833"/>
        <v>0</v>
      </c>
      <c r="CQ209" s="80">
        <f t="shared" si="834"/>
        <v>0</v>
      </c>
      <c r="CR209" s="80">
        <f t="shared" si="835"/>
        <v>0</v>
      </c>
      <c r="CS209" s="80">
        <f t="shared" si="836"/>
        <v>0</v>
      </c>
      <c r="CT209" s="80">
        <f t="shared" si="837"/>
        <v>0</v>
      </c>
      <c r="CU209" s="80">
        <f t="shared" ref="CU209:CU257" si="930">+IF((M209+M209)=0,,(CA209+BW209)/(M209+M209))*1000</f>
        <v>0</v>
      </c>
      <c r="CV209" s="80">
        <f t="shared" si="839"/>
        <v>0</v>
      </c>
      <c r="CW209" s="48">
        <f>+SUM(CW210:CW217)</f>
        <v>0</v>
      </c>
      <c r="CX209" s="48">
        <f>+SUM(CX210:CX217)</f>
        <v>0</v>
      </c>
      <c r="CY209" s="48">
        <f>+SUM(CY210:CY217)</f>
        <v>0</v>
      </c>
      <c r="CZ209" s="48">
        <f>+SUM(CZ210:CZ217)</f>
        <v>0</v>
      </c>
      <c r="DA209" s="20">
        <f t="shared" si="844"/>
        <v>0</v>
      </c>
      <c r="DB209" s="20">
        <f t="shared" si="845"/>
        <v>0</v>
      </c>
      <c r="DC209" s="20">
        <f t="shared" si="846"/>
        <v>0</v>
      </c>
      <c r="DD209" s="20">
        <f t="shared" si="846"/>
        <v>0</v>
      </c>
      <c r="DE209" s="79">
        <f t="shared" si="911"/>
        <v>0</v>
      </c>
      <c r="DF209" s="79">
        <f t="shared" si="911"/>
        <v>0</v>
      </c>
      <c r="DG209" s="79">
        <f t="shared" si="874"/>
        <v>0</v>
      </c>
      <c r="DH209" s="51">
        <f t="shared" si="848"/>
        <v>0</v>
      </c>
      <c r="DI209" s="39"/>
      <c r="DJ209" s="80">
        <f t="shared" si="849"/>
        <v>0</v>
      </c>
      <c r="DK209" s="39">
        <f t="shared" si="850"/>
        <v>0</v>
      </c>
      <c r="DL209" s="39">
        <f t="shared" si="851"/>
        <v>0</v>
      </c>
      <c r="DM209" s="48">
        <f>+AT209-'[2]тарифы (12-13) население 15%'!AP255</f>
        <v>0</v>
      </c>
      <c r="DN209" s="39"/>
      <c r="DO209" s="39"/>
      <c r="DP209" s="39"/>
      <c r="DQ209" s="39"/>
      <c r="DR209" s="39"/>
      <c r="DS209" s="39"/>
      <c r="DT209" s="39"/>
      <c r="DU209" s="19">
        <f t="shared" si="926"/>
        <v>0</v>
      </c>
      <c r="DV209" s="42">
        <f>+SUM(DV210:DV217)</f>
        <v>55155.398831744533</v>
      </c>
      <c r="DW209" s="42">
        <f>+SUM(DW210:DW217)</f>
        <v>105860.70623614498</v>
      </c>
      <c r="DX209" s="42">
        <f>+'[1]тарифы (НВВ) население на 4,2%'!CO265</f>
        <v>65.099996842503955</v>
      </c>
      <c r="DY209" s="42">
        <f t="shared" si="914"/>
        <v>52.101861769851219</v>
      </c>
      <c r="DZ209" s="19">
        <f t="shared" si="915"/>
        <v>0</v>
      </c>
      <c r="EA209" s="19">
        <f t="shared" si="916"/>
        <v>0</v>
      </c>
      <c r="EB209" s="19"/>
      <c r="EC209" s="22">
        <f>+SUM(EC210:EC217)</f>
        <v>44672.78718552542</v>
      </c>
      <c r="ED209" s="22">
        <f>+SUM(ED210:ED217)</f>
        <v>46546.754969545764</v>
      </c>
      <c r="EE209" s="80"/>
      <c r="EF209" s="80"/>
      <c r="EG209" s="22">
        <f t="shared" si="917"/>
        <v>0</v>
      </c>
      <c r="EH209" s="80"/>
      <c r="EI209" s="80"/>
      <c r="EJ209" s="22">
        <f t="shared" si="918"/>
        <v>0</v>
      </c>
      <c r="EK209" s="40"/>
      <c r="EL209" s="40"/>
      <c r="EM209" s="40"/>
      <c r="EN209" s="146">
        <f>+SUM(EN210:EN217)</f>
        <v>57135.827897033894</v>
      </c>
      <c r="EO209" s="146">
        <f>+SUM(EO210:EO217)</f>
        <v>108607.6329388</v>
      </c>
      <c r="EP209" s="146" t="e">
        <f>+$EN$442/$EN$445*EN209</f>
        <v>#REF!</v>
      </c>
      <c r="EQ209" s="42">
        <f t="shared" si="888"/>
        <v>52.607562057106726</v>
      </c>
      <c r="ER209" s="42" t="e">
        <f>+IF((EN209+EP209)=0,,(EN209+EP209)/(EO209+EP209))*100</f>
        <v>#REF!</v>
      </c>
      <c r="ES209" s="42"/>
      <c r="ET209" s="42"/>
      <c r="EU209" s="19">
        <f t="shared" si="893"/>
        <v>0</v>
      </c>
      <c r="EV209" s="42"/>
      <c r="EW209" s="39"/>
      <c r="EX209" s="39">
        <f t="shared" si="882"/>
        <v>0</v>
      </c>
      <c r="EY209" s="39">
        <f t="shared" si="867"/>
        <v>0</v>
      </c>
      <c r="EZ209" s="39"/>
      <c r="FA209" s="39"/>
      <c r="FB209" s="39"/>
      <c r="FC209" s="39"/>
      <c r="FD209" s="39"/>
      <c r="FE209" s="39"/>
      <c r="FF209" s="39"/>
      <c r="FG209" s="39"/>
      <c r="FH209" s="39"/>
      <c r="FI209" s="39"/>
      <c r="FJ209" s="41">
        <f>+SUM(FJ211:FJ217)</f>
        <v>49114.321800464415</v>
      </c>
      <c r="FK209" s="41">
        <f>+SUM(FK211:FK217)</f>
        <v>51471.805041766085</v>
      </c>
      <c r="FL209" s="41">
        <f t="shared" si="896"/>
        <v>100586.1268422305</v>
      </c>
      <c r="FM209" s="40"/>
      <c r="FN209" s="40"/>
      <c r="FO209" s="80">
        <f t="shared" si="883"/>
        <v>0</v>
      </c>
      <c r="FP209" s="80"/>
      <c r="FQ209" s="22"/>
      <c r="FR209" s="80">
        <f t="shared" ref="FR209:FR230" si="931">+EI209</f>
        <v>0</v>
      </c>
      <c r="FS209" s="80"/>
      <c r="FT209" s="22"/>
      <c r="FU209" s="40"/>
      <c r="FV209" s="41">
        <f t="shared" ref="FV209:GB209" si="932">+SUM(FV211:FV217)</f>
        <v>0</v>
      </c>
      <c r="FW209" s="41">
        <f t="shared" si="932"/>
        <v>0</v>
      </c>
      <c r="FX209" s="41">
        <f t="shared" si="932"/>
        <v>0</v>
      </c>
      <c r="FY209" s="41">
        <f t="shared" si="932"/>
        <v>0</v>
      </c>
      <c r="FZ209" s="41">
        <f t="shared" si="932"/>
        <v>0</v>
      </c>
      <c r="GA209" s="41">
        <f t="shared" si="932"/>
        <v>0</v>
      </c>
      <c r="GB209" s="41">
        <f t="shared" si="932"/>
        <v>0</v>
      </c>
      <c r="GC209" s="20">
        <f t="shared" si="876"/>
        <v>0</v>
      </c>
      <c r="GD209" s="20">
        <f t="shared" si="877"/>
        <v>0</v>
      </c>
      <c r="GE209" s="42"/>
      <c r="GF209" s="42"/>
      <c r="GG209" s="42"/>
      <c r="GH209" s="42"/>
      <c r="GI209" s="42"/>
      <c r="GJ209" s="42"/>
      <c r="GK209" s="42"/>
      <c r="GL209" s="42"/>
      <c r="GM209" s="40"/>
      <c r="GN209" s="40"/>
      <c r="GO209" s="80"/>
      <c r="GP209" s="80"/>
      <c r="GQ209" s="22"/>
      <c r="GR209" s="80"/>
      <c r="GS209" s="80"/>
      <c r="GT209" s="22"/>
      <c r="GU209" s="43"/>
      <c r="GV209" s="41"/>
      <c r="GW209" s="41"/>
      <c r="GX209" s="41">
        <f>+SUM(GX210:GX217)</f>
        <v>0</v>
      </c>
      <c r="GY209" s="41">
        <f>+SUM(GY210:GY217)</f>
        <v>0</v>
      </c>
      <c r="GZ209" s="44">
        <f t="shared" ref="GZ209" si="933">+IF(GY209=0,,GX209/GY209*100)</f>
        <v>0</v>
      </c>
      <c r="HA209" s="80"/>
      <c r="HB209" s="80"/>
      <c r="HC209" s="22"/>
      <c r="HD209" s="80"/>
      <c r="HE209" s="80"/>
      <c r="HF209" s="22"/>
      <c r="HG209" s="233"/>
    </row>
    <row r="210" spans="2:215" ht="15.75">
      <c r="B210" s="10" t="s">
        <v>355</v>
      </c>
      <c r="C210" s="81" t="s">
        <v>152</v>
      </c>
      <c r="D210" s="73"/>
      <c r="E210" s="73"/>
      <c r="F210" s="74"/>
      <c r="G210" s="74"/>
      <c r="H210" s="74"/>
      <c r="I210" s="73"/>
      <c r="J210" s="74"/>
      <c r="K210" s="74"/>
      <c r="L210" s="74"/>
      <c r="M210" s="191"/>
      <c r="N210" s="191"/>
      <c r="O210" s="74"/>
      <c r="P210" s="74"/>
      <c r="Q210" s="74"/>
      <c r="R210" s="191"/>
      <c r="S210" s="74"/>
      <c r="T210" s="74"/>
      <c r="U210" s="74"/>
      <c r="V210" s="52"/>
      <c r="W210" s="52"/>
      <c r="X210" s="52"/>
      <c r="Y210" s="52"/>
      <c r="Z210" s="22"/>
      <c r="AA210" s="52"/>
      <c r="AB210" s="22"/>
      <c r="AC210" s="52"/>
      <c r="AD210" s="22"/>
      <c r="AE210" s="22"/>
      <c r="AF210" s="22"/>
      <c r="AG210" s="22">
        <f t="shared" si="889"/>
        <v>0</v>
      </c>
      <c r="AH210" s="52"/>
      <c r="AI210" s="52"/>
      <c r="AJ210" s="52"/>
      <c r="AK210" s="52"/>
      <c r="AL210" s="22"/>
      <c r="AM210" s="52"/>
      <c r="AN210" s="22"/>
      <c r="AO210" s="22"/>
      <c r="AP210" s="22"/>
      <c r="AQ210" s="22"/>
      <c r="AR210" s="22"/>
      <c r="AS210" s="22"/>
      <c r="AT210" s="22"/>
      <c r="AU210" s="22">
        <f t="shared" si="890"/>
        <v>0</v>
      </c>
      <c r="AV210" s="77"/>
      <c r="AW210" s="77"/>
      <c r="AX210" s="190"/>
      <c r="AY210" s="22">
        <f t="shared" si="898"/>
        <v>0</v>
      </c>
      <c r="AZ210" s="22"/>
      <c r="BA210" s="22"/>
      <c r="BB210" s="22"/>
      <c r="BC210" s="22"/>
      <c r="BD210" s="22"/>
      <c r="BE210" s="22">
        <f t="shared" si="924"/>
        <v>0</v>
      </c>
      <c r="BF210" s="22"/>
      <c r="BG210" s="22"/>
      <c r="BH210" s="22">
        <f t="shared" si="925"/>
        <v>0</v>
      </c>
      <c r="BI210" s="22"/>
      <c r="BJ210" s="40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19"/>
      <c r="CX210" s="19"/>
      <c r="CY210" s="19"/>
      <c r="CZ210" s="19"/>
      <c r="DA210" s="21"/>
      <c r="DB210" s="21"/>
      <c r="DC210" s="79"/>
      <c r="DD210" s="79"/>
      <c r="DE210" s="79"/>
      <c r="DF210" s="79"/>
      <c r="DG210" s="79"/>
      <c r="DH210" s="51"/>
      <c r="DI210" s="39"/>
      <c r="DJ210" s="80"/>
      <c r="DK210" s="39"/>
      <c r="DL210" s="39"/>
      <c r="DM210" s="48"/>
      <c r="DN210" s="39"/>
      <c r="DO210" s="39"/>
      <c r="DP210" s="39"/>
      <c r="DQ210" s="39"/>
      <c r="DR210" s="39"/>
      <c r="DS210" s="39"/>
      <c r="DT210" s="39"/>
      <c r="DU210" s="19">
        <f t="shared" si="926"/>
        <v>0</v>
      </c>
      <c r="DV210" s="40">
        <f t="shared" si="912"/>
        <v>0</v>
      </c>
      <c r="DW210" s="40">
        <f t="shared" si="913"/>
        <v>0</v>
      </c>
      <c r="DX210" s="46"/>
      <c r="DY210" s="21">
        <f t="shared" si="914"/>
        <v>0</v>
      </c>
      <c r="DZ210" s="19">
        <f t="shared" si="915"/>
        <v>0</v>
      </c>
      <c r="EA210" s="19">
        <f t="shared" si="916"/>
        <v>0</v>
      </c>
      <c r="EB210" s="19"/>
      <c r="EC210" s="48">
        <f t="shared" ref="EC210:EC213" si="934">+(BC210-BF210/1.18)*AZ210/2</f>
        <v>0</v>
      </c>
      <c r="ED210" s="48">
        <f t="shared" ref="ED210:ED213" si="935">+(BD210-BG210/1.18)*AZ210/2</f>
        <v>0</v>
      </c>
      <c r="EE210" s="22"/>
      <c r="EF210" s="22"/>
      <c r="EG210" s="22">
        <f t="shared" si="917"/>
        <v>0</v>
      </c>
      <c r="EH210" s="22"/>
      <c r="EI210" s="22"/>
      <c r="EJ210" s="22">
        <f t="shared" si="918"/>
        <v>0</v>
      </c>
      <c r="EK210" s="40"/>
      <c r="EL210" s="19"/>
      <c r="EM210" s="19"/>
      <c r="EN210" s="40">
        <f t="shared" si="891"/>
        <v>0</v>
      </c>
      <c r="EO210" s="40">
        <f t="shared" si="892"/>
        <v>0</v>
      </c>
      <c r="EP210" s="40"/>
      <c r="EQ210" s="21">
        <f t="shared" si="888"/>
        <v>0</v>
      </c>
      <c r="ER210" s="21"/>
      <c r="ES210" s="21">
        <f t="shared" ref="ES210:ES215" si="936">+EL210*EE210</f>
        <v>0</v>
      </c>
      <c r="ET210" s="21"/>
      <c r="EU210" s="19">
        <f t="shared" si="893"/>
        <v>0</v>
      </c>
      <c r="EV210" s="21"/>
      <c r="EW210" s="39"/>
      <c r="EX210" s="39">
        <f t="shared" si="882"/>
        <v>0</v>
      </c>
      <c r="EY210" s="39">
        <f t="shared" si="867"/>
        <v>0</v>
      </c>
      <c r="EZ210" s="39"/>
      <c r="FA210" s="39"/>
      <c r="FB210" s="39"/>
      <c r="FC210" s="39"/>
      <c r="FD210" s="39"/>
      <c r="FE210" s="39"/>
      <c r="FF210" s="39"/>
      <c r="FG210" s="39"/>
      <c r="FH210" s="39"/>
      <c r="FI210" s="39"/>
      <c r="FJ210" s="19">
        <f t="shared" si="894"/>
        <v>0</v>
      </c>
      <c r="FK210" s="19">
        <f t="shared" si="895"/>
        <v>0</v>
      </c>
      <c r="FL210" s="19">
        <f t="shared" si="896"/>
        <v>0</v>
      </c>
      <c r="FM210" s="19"/>
      <c r="FN210" s="19"/>
      <c r="FO210" s="22">
        <f t="shared" si="883"/>
        <v>0</v>
      </c>
      <c r="FP210" s="22"/>
      <c r="FQ210" s="22">
        <f t="shared" ref="FQ210" si="937">+IF(FO210=0,,FP210/FO210*100)</f>
        <v>0</v>
      </c>
      <c r="FR210" s="22">
        <f t="shared" si="931"/>
        <v>0</v>
      </c>
      <c r="FS210" s="22"/>
      <c r="FT210" s="22"/>
      <c r="FU210" s="40"/>
      <c r="FV210" s="19">
        <f t="shared" ref="FV210" si="938">+(FO210-FR210/1.18)*FN210</f>
        <v>0</v>
      </c>
      <c r="FW210" s="19">
        <f t="shared" ref="FW210" si="939">+(FP210-FS210/1.18)*FN210</f>
        <v>0</v>
      </c>
      <c r="FX210" s="19">
        <f t="shared" ref="FX210:FX230" si="940">+(FW210/2)-FV210/2</f>
        <v>0</v>
      </c>
      <c r="FY210" s="19">
        <f t="shared" ref="FY210:FY230" si="941">+(FR210*EM210)/1.18</f>
        <v>0</v>
      </c>
      <c r="FZ210" s="19">
        <f t="shared" ref="FZ210:FZ230" si="942">+FO210*EM210</f>
        <v>0</v>
      </c>
      <c r="GA210" s="19">
        <f t="shared" ref="GA210:GA230" si="943">+(FS210*EM210)/1.18</f>
        <v>0</v>
      </c>
      <c r="GB210" s="19">
        <f t="shared" ref="GB210:GB230" si="944">+FP210*EM210</f>
        <v>0</v>
      </c>
      <c r="GC210" s="20">
        <f t="shared" si="876"/>
        <v>0</v>
      </c>
      <c r="GD210" s="20">
        <f t="shared" ref="GD210:GD247" si="945">+IF(GB210=0,,GA210/GB210*100)</f>
        <v>0</v>
      </c>
      <c r="GE210" s="21"/>
      <c r="GF210" s="21">
        <f t="shared" ref="GF210" si="946">+FR210*FN210</f>
        <v>0</v>
      </c>
      <c r="GG210" s="21"/>
      <c r="GH210" s="21"/>
      <c r="GI210" s="21">
        <f t="shared" ref="GI210" si="947">+FP210*FM210</f>
        <v>0</v>
      </c>
      <c r="GJ210" s="21">
        <f t="shared" ref="GJ210" si="948">+FS210*FN210</f>
        <v>0</v>
      </c>
      <c r="GK210" s="21"/>
      <c r="GL210" s="21"/>
      <c r="GM210" s="19"/>
      <c r="GN210" s="19"/>
      <c r="GO210" s="22"/>
      <c r="GP210" s="22"/>
      <c r="GQ210" s="22">
        <f t="shared" ref="GQ210" si="949">+IF(GO210=0,,GP210/GO210*100)</f>
        <v>0</v>
      </c>
      <c r="GR210" s="22"/>
      <c r="GS210" s="22"/>
      <c r="GT210" s="22"/>
      <c r="GU210" s="43"/>
      <c r="GV210" s="19"/>
      <c r="GW210" s="19"/>
      <c r="GX210" s="19"/>
      <c r="GY210" s="19"/>
      <c r="GZ210" s="19"/>
      <c r="HA210" s="22"/>
      <c r="HB210" s="22"/>
      <c r="HC210" s="22">
        <f t="shared" ref="HC210" si="950">+IF(HA210=0,,HB210/HA210*100)</f>
        <v>0</v>
      </c>
      <c r="HD210" s="22"/>
      <c r="HE210" s="22"/>
      <c r="HF210" s="22"/>
      <c r="HG210" s="233"/>
    </row>
    <row r="211" spans="2:215" ht="15.75">
      <c r="B211" s="10"/>
      <c r="C211" s="161" t="s">
        <v>153</v>
      </c>
      <c r="D211" s="73"/>
      <c r="E211" s="73"/>
      <c r="F211" s="74"/>
      <c r="G211" s="74"/>
      <c r="H211" s="74"/>
      <c r="I211" s="73"/>
      <c r="J211" s="74"/>
      <c r="K211" s="74"/>
      <c r="L211" s="74"/>
      <c r="M211" s="191"/>
      <c r="N211" s="191"/>
      <c r="O211" s="74"/>
      <c r="P211" s="74"/>
      <c r="Q211" s="74"/>
      <c r="R211" s="191"/>
      <c r="S211" s="74"/>
      <c r="T211" s="74"/>
      <c r="U211" s="74"/>
      <c r="V211" s="52"/>
      <c r="W211" s="52"/>
      <c r="X211" s="52"/>
      <c r="Y211" s="52"/>
      <c r="Z211" s="22"/>
      <c r="AA211" s="52"/>
      <c r="AB211" s="22"/>
      <c r="AC211" s="52"/>
      <c r="AD211" s="52">
        <v>2523.4</v>
      </c>
      <c r="AE211" s="22">
        <f>+IF(AC211=0,,AF211/AC211*100)</f>
        <v>0</v>
      </c>
      <c r="AF211" s="22">
        <v>2523.4</v>
      </c>
      <c r="AG211" s="22">
        <f t="shared" si="889"/>
        <v>100</v>
      </c>
      <c r="AH211" s="52"/>
      <c r="AI211" s="52"/>
      <c r="AJ211" s="52"/>
      <c r="AK211" s="52"/>
      <c r="AL211" s="22"/>
      <c r="AM211" s="52"/>
      <c r="AN211" s="22"/>
      <c r="AO211" s="22"/>
      <c r="AP211" s="22"/>
      <c r="AQ211" s="22"/>
      <c r="AR211" s="22">
        <v>1403.93</v>
      </c>
      <c r="AS211" s="22">
        <f>+IF(AQ211=0,,AT211/AQ211*100)</f>
        <v>0</v>
      </c>
      <c r="AT211" s="22">
        <v>1568.18</v>
      </c>
      <c r="AU211" s="22">
        <f t="shared" si="890"/>
        <v>111.69930124721319</v>
      </c>
      <c r="AV211" s="77"/>
      <c r="AW211" s="77"/>
      <c r="AX211" s="78" t="s">
        <v>139</v>
      </c>
      <c r="AY211" s="22">
        <f t="shared" si="898"/>
        <v>33.984200000000001</v>
      </c>
      <c r="AZ211" s="22">
        <f>+[8]БПр!$BX$280/1000</f>
        <v>24.735959999999999</v>
      </c>
      <c r="BA211" s="22">
        <f>+[8]БПр!$BW$280/1000</f>
        <v>7.5049899999999994</v>
      </c>
      <c r="BB211" s="22">
        <f>+([8]БПр!$BY$280+[8]БПр!$BO$280)/1000</f>
        <v>1.74325</v>
      </c>
      <c r="BC211" s="22">
        <v>2523.4</v>
      </c>
      <c r="BD211" s="22">
        <v>2629.38</v>
      </c>
      <c r="BE211" s="22">
        <f t="shared" si="924"/>
        <v>104.19988903859871</v>
      </c>
      <c r="BF211" s="22">
        <v>1568.18</v>
      </c>
      <c r="BG211" s="22">
        <v>1634.04</v>
      </c>
      <c r="BH211" s="22">
        <f t="shared" si="925"/>
        <v>104.19977298524404</v>
      </c>
      <c r="BI211" s="22">
        <f>+BD211-BG211/1.18</f>
        <v>1244.600338983051</v>
      </c>
      <c r="BJ211" s="40" t="s">
        <v>140</v>
      </c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19"/>
      <c r="CX211" s="19"/>
      <c r="CY211" s="19"/>
      <c r="CZ211" s="19"/>
      <c r="DA211" s="21"/>
      <c r="DB211" s="21"/>
      <c r="DC211" s="79"/>
      <c r="DD211" s="79"/>
      <c r="DE211" s="79"/>
      <c r="DF211" s="79"/>
      <c r="DG211" s="79"/>
      <c r="DH211" s="51"/>
      <c r="DI211" s="39"/>
      <c r="DJ211" s="80"/>
      <c r="DK211" s="39"/>
      <c r="DL211" s="39"/>
      <c r="DM211" s="48"/>
      <c r="DN211" s="39"/>
      <c r="DO211" s="39"/>
      <c r="DP211" s="39"/>
      <c r="DQ211" s="39"/>
      <c r="DR211" s="39"/>
      <c r="DS211" s="39"/>
      <c r="DT211" s="39"/>
      <c r="DU211" s="19">
        <f t="shared" si="926"/>
        <v>32873.252332881355</v>
      </c>
      <c r="DV211" s="40">
        <f t="shared" si="912"/>
        <v>34253.854303728811</v>
      </c>
      <c r="DW211" s="40">
        <f t="shared" si="913"/>
        <v>65040.2385048</v>
      </c>
      <c r="DX211" s="21">
        <f>+('[1]тарифы (НВВ) население на 4,2%'!CL267+'[1]тарифы (НВВ) население на 4,2%'!CL268)/('[1]тарифы (НВВ) население на 4,2%'!CM267+'[1]тарифы (НВВ) население на 4,2%'!CM268)*100</f>
        <v>56.491286331235557</v>
      </c>
      <c r="DY211" s="21">
        <f t="shared" si="914"/>
        <v>52.665634522851356</v>
      </c>
      <c r="DZ211" s="19">
        <f t="shared" si="915"/>
        <v>85.755730280000009</v>
      </c>
      <c r="EA211" s="19">
        <f t="shared" si="916"/>
        <v>89.357375796000014</v>
      </c>
      <c r="EB211" s="48">
        <v>1859.47</v>
      </c>
      <c r="EC211" s="48">
        <f>+(BC211-BF211/1.18)*AZ211</f>
        <v>29545.469131118643</v>
      </c>
      <c r="ED211" s="48">
        <f>+(BD211-BG211/1.18)*AZ211</f>
        <v>30786.384201071189</v>
      </c>
      <c r="EE211" s="22">
        <v>2629.38</v>
      </c>
      <c r="EF211" s="22">
        <v>2813.43</v>
      </c>
      <c r="EG211" s="22">
        <f t="shared" si="917"/>
        <v>106.99974899025624</v>
      </c>
      <c r="EH211" s="22">
        <v>1634.04</v>
      </c>
      <c r="EI211" s="22">
        <v>1772.11</v>
      </c>
      <c r="EJ211" s="22">
        <f t="shared" si="918"/>
        <v>108.44960955668159</v>
      </c>
      <c r="EK211" s="40" t="s">
        <v>141</v>
      </c>
      <c r="EL211" s="19">
        <v>33.02805</v>
      </c>
      <c r="EM211" s="19">
        <v>24.626390000000001</v>
      </c>
      <c r="EN211" s="40">
        <f t="shared" si="891"/>
        <v>36983.62032449153</v>
      </c>
      <c r="EO211" s="40">
        <f t="shared" si="892"/>
        <v>69284.624417700004</v>
      </c>
      <c r="EP211" s="40"/>
      <c r="EQ211" s="21">
        <f t="shared" si="888"/>
        <v>53.379260745539092</v>
      </c>
      <c r="ER211" s="21"/>
      <c r="ES211" s="21">
        <f t="shared" si="936"/>
        <v>86843.294109000009</v>
      </c>
      <c r="ET211" s="21"/>
      <c r="EU211" s="19">
        <f t="shared" si="893"/>
        <v>92922.10671149999</v>
      </c>
      <c r="EV211" s="21"/>
      <c r="EW211" s="39"/>
      <c r="EX211" s="39">
        <f t="shared" si="882"/>
        <v>89357.375796000008</v>
      </c>
      <c r="EY211" s="39">
        <f t="shared" si="867"/>
        <v>95612.167805999998</v>
      </c>
      <c r="EZ211" s="39"/>
      <c r="FA211" s="39"/>
      <c r="FB211" s="39"/>
      <c r="FC211" s="39"/>
      <c r="FD211" s="39"/>
      <c r="FE211" s="166"/>
      <c r="FF211" s="166"/>
      <c r="FG211" s="39"/>
      <c r="FH211" s="39"/>
      <c r="FI211" s="39"/>
      <c r="FJ211" s="19">
        <f t="shared" si="894"/>
        <v>30650.013341928818</v>
      </c>
      <c r="FK211" s="19">
        <f t="shared" si="895"/>
        <v>32301.00409320847</v>
      </c>
      <c r="FL211" s="19">
        <f t="shared" si="896"/>
        <v>62951.017435137284</v>
      </c>
      <c r="FM211" s="19">
        <v>32.436999999999998</v>
      </c>
      <c r="FN211" s="19">
        <v>24.218</v>
      </c>
      <c r="FO211" s="22">
        <v>3013.12</v>
      </c>
      <c r="FP211" s="22">
        <v>3083.47</v>
      </c>
      <c r="FQ211" s="22"/>
      <c r="FR211" s="22">
        <v>2215.62</v>
      </c>
      <c r="FS211" s="22">
        <v>2326.4</v>
      </c>
      <c r="FT211" s="22"/>
      <c r="FU211" s="40" t="s">
        <v>624</v>
      </c>
      <c r="FV211" s="19"/>
      <c r="FW211" s="19"/>
      <c r="FX211" s="19"/>
      <c r="FY211" s="19"/>
      <c r="FZ211" s="19"/>
      <c r="GA211" s="19"/>
      <c r="GB211" s="19"/>
      <c r="GC211" s="20"/>
      <c r="GD211" s="20"/>
      <c r="GE211" s="21"/>
      <c r="GF211" s="21"/>
      <c r="GG211" s="21"/>
      <c r="GH211" s="21"/>
      <c r="GI211" s="21"/>
      <c r="GJ211" s="21"/>
      <c r="GK211" s="21"/>
      <c r="GL211" s="21"/>
      <c r="GM211" s="19"/>
      <c r="GN211" s="19"/>
      <c r="GO211" s="22">
        <v>3083.47</v>
      </c>
      <c r="GP211" s="22">
        <v>3217.34</v>
      </c>
      <c r="GQ211" s="22"/>
      <c r="GR211" s="22">
        <v>2326.4</v>
      </c>
      <c r="GS211" s="22">
        <v>2414.8000000000002</v>
      </c>
      <c r="GT211" s="22"/>
      <c r="GU211" s="43" t="s">
        <v>624</v>
      </c>
      <c r="GV211" s="19"/>
      <c r="GW211" s="19"/>
      <c r="GX211" s="19"/>
      <c r="GY211" s="19"/>
      <c r="GZ211" s="23"/>
      <c r="HA211" s="22">
        <v>3217.34</v>
      </c>
      <c r="HB211" s="22">
        <v>3305.42</v>
      </c>
      <c r="HC211" s="22"/>
      <c r="HD211" s="22">
        <v>2414.8000000000002</v>
      </c>
      <c r="HE211" s="22">
        <v>2511.4</v>
      </c>
      <c r="HF211" s="22"/>
      <c r="HG211" s="233" t="s">
        <v>624</v>
      </c>
    </row>
    <row r="212" spans="2:215" ht="15.75">
      <c r="B212" s="10"/>
      <c r="C212" s="184" t="s">
        <v>150</v>
      </c>
      <c r="D212" s="73"/>
      <c r="E212" s="73"/>
      <c r="F212" s="74"/>
      <c r="G212" s="74"/>
      <c r="H212" s="74"/>
      <c r="I212" s="73"/>
      <c r="J212" s="74"/>
      <c r="K212" s="74"/>
      <c r="L212" s="74"/>
      <c r="M212" s="191"/>
      <c r="N212" s="191"/>
      <c r="O212" s="74"/>
      <c r="P212" s="74"/>
      <c r="Q212" s="74"/>
      <c r="R212" s="191"/>
      <c r="S212" s="74"/>
      <c r="T212" s="74"/>
      <c r="U212" s="74"/>
      <c r="V212" s="52"/>
      <c r="W212" s="52"/>
      <c r="X212" s="52"/>
      <c r="Y212" s="52"/>
      <c r="Z212" s="22"/>
      <c r="AA212" s="52"/>
      <c r="AB212" s="22"/>
      <c r="AC212" s="52"/>
      <c r="AD212" s="52">
        <v>231.15</v>
      </c>
      <c r="AE212" s="22">
        <f>+IF(AC212=0,,AF212/AC212*100)</f>
        <v>0</v>
      </c>
      <c r="AF212" s="22">
        <v>231.15</v>
      </c>
      <c r="AG212" s="22">
        <f t="shared" si="889"/>
        <v>100</v>
      </c>
      <c r="AH212" s="52"/>
      <c r="AI212" s="52"/>
      <c r="AJ212" s="52"/>
      <c r="AK212" s="52"/>
      <c r="AL212" s="22"/>
      <c r="AM212" s="52"/>
      <c r="AN212" s="22"/>
      <c r="AO212" s="22"/>
      <c r="AP212" s="22"/>
      <c r="AQ212" s="22"/>
      <c r="AR212" s="22">
        <v>95.37</v>
      </c>
      <c r="AS212" s="22">
        <f>+IF(AQ212=0,,AT212/AQ212*100)</f>
        <v>0</v>
      </c>
      <c r="AT212" s="22">
        <v>106.23</v>
      </c>
      <c r="AU212" s="22">
        <f t="shared" si="890"/>
        <v>111.38722868826676</v>
      </c>
      <c r="AV212" s="77"/>
      <c r="AW212" s="77"/>
      <c r="AX212" s="78" t="s">
        <v>156</v>
      </c>
      <c r="AY212" s="22">
        <f t="shared" si="898"/>
        <v>0</v>
      </c>
      <c r="AZ212" s="22"/>
      <c r="BA212" s="22"/>
      <c r="BB212" s="22"/>
      <c r="BC212" s="22"/>
      <c r="BD212" s="22"/>
      <c r="BE212" s="22">
        <f t="shared" si="924"/>
        <v>0</v>
      </c>
      <c r="BF212" s="22">
        <v>106.23</v>
      </c>
      <c r="BG212" s="22">
        <v>110.69</v>
      </c>
      <c r="BH212" s="22">
        <f t="shared" si="925"/>
        <v>104.19843735291347</v>
      </c>
      <c r="BI212" s="22"/>
      <c r="BJ212" s="40" t="s">
        <v>157</v>
      </c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48"/>
      <c r="CF212" s="48"/>
      <c r="CG212" s="48"/>
      <c r="CH212" s="48"/>
      <c r="CI212" s="48"/>
      <c r="CJ212" s="48"/>
      <c r="CK212" s="48"/>
      <c r="CL212" s="48"/>
      <c r="CM212" s="48"/>
      <c r="CN212" s="48"/>
      <c r="CO212" s="48"/>
      <c r="CP212" s="48"/>
      <c r="CQ212" s="48"/>
      <c r="CR212" s="48"/>
      <c r="CS212" s="48"/>
      <c r="CT212" s="48"/>
      <c r="CU212" s="48"/>
      <c r="CV212" s="48"/>
      <c r="CW212" s="19"/>
      <c r="CX212" s="19"/>
      <c r="CY212" s="19"/>
      <c r="CZ212" s="19"/>
      <c r="DA212" s="21"/>
      <c r="DB212" s="21"/>
      <c r="DC212" s="79"/>
      <c r="DD212" s="79"/>
      <c r="DE212" s="79"/>
      <c r="DF212" s="79"/>
      <c r="DG212" s="79"/>
      <c r="DH212" s="51"/>
      <c r="DI212" s="39"/>
      <c r="DJ212" s="80"/>
      <c r="DK212" s="39"/>
      <c r="DL212" s="39"/>
      <c r="DM212" s="48"/>
      <c r="DN212" s="39"/>
      <c r="DO212" s="39"/>
      <c r="DP212" s="39"/>
      <c r="DQ212" s="39"/>
      <c r="DR212" s="39"/>
      <c r="DS212" s="39"/>
      <c r="DT212" s="39"/>
      <c r="DU212" s="19">
        <f t="shared" si="926"/>
        <v>0</v>
      </c>
      <c r="DV212" s="40">
        <f>+'[1]тарифы (НВВ) население на 4,2%'!CL270*1.042</f>
        <v>2987.0475364903068</v>
      </c>
      <c r="DW212" s="40">
        <f>+'[1]тарифы (НВВ) население на 4,2%'!CM270*1.042</f>
        <v>7145.5999713449655</v>
      </c>
      <c r="DX212" s="46"/>
      <c r="DY212" s="21">
        <f t="shared" si="914"/>
        <v>41.802613474989649</v>
      </c>
      <c r="DZ212" s="19">
        <f t="shared" si="915"/>
        <v>0</v>
      </c>
      <c r="EA212" s="19">
        <f t="shared" si="916"/>
        <v>0</v>
      </c>
      <c r="EB212" s="19"/>
      <c r="EC212" s="48">
        <f t="shared" si="934"/>
        <v>0</v>
      </c>
      <c r="ED212" s="48">
        <f t="shared" si="935"/>
        <v>0</v>
      </c>
      <c r="EE212" s="22">
        <v>240.86</v>
      </c>
      <c r="EF212" s="22">
        <v>256.99</v>
      </c>
      <c r="EG212" s="22">
        <f t="shared" si="917"/>
        <v>106.696836336461</v>
      </c>
      <c r="EH212" s="22">
        <v>110.69</v>
      </c>
      <c r="EI212" s="22">
        <v>120.04</v>
      </c>
      <c r="EJ212" s="22">
        <f t="shared" si="918"/>
        <v>108.44701418375644</v>
      </c>
      <c r="EK212" s="40" t="s">
        <v>158</v>
      </c>
      <c r="EL212" s="19">
        <v>31.916049999999998</v>
      </c>
      <c r="EM212" s="19">
        <v>31.890889999999999</v>
      </c>
      <c r="EN212" s="40">
        <f t="shared" si="891"/>
        <v>3244.2224030508478</v>
      </c>
      <c r="EO212" s="40">
        <f t="shared" si="892"/>
        <v>8195.6398210999996</v>
      </c>
      <c r="EP212" s="40"/>
      <c r="EQ212" s="21">
        <f t="shared" si="888"/>
        <v>39.584736199588328</v>
      </c>
      <c r="ER212" s="21"/>
      <c r="ES212" s="21">
        <f t="shared" si="936"/>
        <v>7687.2998029999999</v>
      </c>
      <c r="ET212" s="21"/>
      <c r="EU212" s="19">
        <f t="shared" si="893"/>
        <v>8202.1056895000002</v>
      </c>
      <c r="EV212" s="21"/>
      <c r="EW212" s="39"/>
      <c r="EX212" s="39">
        <f t="shared" si="882"/>
        <v>0</v>
      </c>
      <c r="EY212" s="39">
        <f t="shared" si="867"/>
        <v>0</v>
      </c>
      <c r="EZ212" s="39"/>
      <c r="FA212" s="39"/>
      <c r="FB212" s="39"/>
      <c r="FC212" s="39"/>
      <c r="FD212" s="39"/>
      <c r="FE212" s="39"/>
      <c r="FF212" s="39"/>
      <c r="FG212" s="39"/>
      <c r="FH212" s="39"/>
      <c r="FI212" s="39"/>
      <c r="FJ212" s="19">
        <f t="shared" si="894"/>
        <v>4689.7121263322033</v>
      </c>
      <c r="FK212" s="19">
        <f t="shared" si="895"/>
        <v>4951.4174180491518</v>
      </c>
      <c r="FL212" s="19">
        <f t="shared" si="896"/>
        <v>9641.1295443813542</v>
      </c>
      <c r="FM212" s="19">
        <v>27.611999999999998</v>
      </c>
      <c r="FN212" s="19">
        <v>27.527999999999999</v>
      </c>
      <c r="FO212" s="22">
        <v>285.22000000000003</v>
      </c>
      <c r="FP212" s="22">
        <v>291.76</v>
      </c>
      <c r="FQ212" s="22"/>
      <c r="FR212" s="22">
        <v>152.47</v>
      </c>
      <c r="FS212" s="22">
        <v>156.28</v>
      </c>
      <c r="FT212" s="22"/>
      <c r="FU212" s="40" t="s">
        <v>631</v>
      </c>
      <c r="FV212" s="19"/>
      <c r="FW212" s="19"/>
      <c r="FX212" s="19"/>
      <c r="FY212" s="19"/>
      <c r="FZ212" s="19"/>
      <c r="GA212" s="19"/>
      <c r="GB212" s="19"/>
      <c r="GC212" s="20"/>
      <c r="GD212" s="20"/>
      <c r="GE212" s="21"/>
      <c r="GF212" s="21"/>
      <c r="GG212" s="21"/>
      <c r="GH212" s="21"/>
      <c r="GI212" s="21"/>
      <c r="GJ212" s="21"/>
      <c r="GK212" s="21"/>
      <c r="GL212" s="21"/>
      <c r="GM212" s="19"/>
      <c r="GN212" s="19"/>
      <c r="GO212" s="22">
        <v>291.76</v>
      </c>
      <c r="GP212" s="22">
        <v>302.85000000000002</v>
      </c>
      <c r="GQ212" s="22"/>
      <c r="GR212" s="22">
        <v>156.28</v>
      </c>
      <c r="GS212" s="22">
        <v>162.22</v>
      </c>
      <c r="GT212" s="22"/>
      <c r="GU212" s="43" t="s">
        <v>631</v>
      </c>
      <c r="GV212" s="19"/>
      <c r="GW212" s="19"/>
      <c r="GX212" s="19"/>
      <c r="GY212" s="19"/>
      <c r="GZ212" s="23"/>
      <c r="HA212" s="22">
        <v>302.85000000000002</v>
      </c>
      <c r="HB212" s="22">
        <v>314.95999999999998</v>
      </c>
      <c r="HC212" s="22"/>
      <c r="HD212" s="22">
        <v>162.22</v>
      </c>
      <c r="HE212" s="22">
        <v>168.71</v>
      </c>
      <c r="HF212" s="22"/>
      <c r="HG212" s="233" t="s">
        <v>631</v>
      </c>
    </row>
    <row r="213" spans="2:215" ht="15.75">
      <c r="B213" s="10" t="s">
        <v>356</v>
      </c>
      <c r="C213" s="81" t="s">
        <v>357</v>
      </c>
      <c r="D213" s="73"/>
      <c r="E213" s="73"/>
      <c r="F213" s="74"/>
      <c r="G213" s="74"/>
      <c r="H213" s="74"/>
      <c r="I213" s="73"/>
      <c r="J213" s="74"/>
      <c r="K213" s="74"/>
      <c r="L213" s="74"/>
      <c r="M213" s="191"/>
      <c r="N213" s="191"/>
      <c r="O213" s="74"/>
      <c r="P213" s="74"/>
      <c r="Q213" s="74"/>
      <c r="R213" s="191"/>
      <c r="S213" s="74"/>
      <c r="T213" s="74"/>
      <c r="U213" s="74"/>
      <c r="V213" s="52"/>
      <c r="W213" s="52"/>
      <c r="X213" s="52"/>
      <c r="Y213" s="52"/>
      <c r="Z213" s="22"/>
      <c r="AA213" s="52"/>
      <c r="AB213" s="22"/>
      <c r="AC213" s="52"/>
      <c r="AD213" s="22"/>
      <c r="AE213" s="22"/>
      <c r="AF213" s="22"/>
      <c r="AG213" s="22">
        <f t="shared" si="889"/>
        <v>0</v>
      </c>
      <c r="AH213" s="52"/>
      <c r="AI213" s="52"/>
      <c r="AJ213" s="52"/>
      <c r="AK213" s="52"/>
      <c r="AL213" s="22"/>
      <c r="AM213" s="52"/>
      <c r="AN213" s="22"/>
      <c r="AO213" s="22"/>
      <c r="AP213" s="22"/>
      <c r="AQ213" s="22"/>
      <c r="AR213" s="22"/>
      <c r="AS213" s="22"/>
      <c r="AT213" s="22"/>
      <c r="AU213" s="22">
        <f t="shared" si="890"/>
        <v>0</v>
      </c>
      <c r="AV213" s="77"/>
      <c r="AW213" s="77"/>
      <c r="AX213" s="78"/>
      <c r="AY213" s="22">
        <f t="shared" si="898"/>
        <v>0</v>
      </c>
      <c r="AZ213" s="22"/>
      <c r="BA213" s="22"/>
      <c r="BB213" s="22"/>
      <c r="BC213" s="22"/>
      <c r="BD213" s="22"/>
      <c r="BE213" s="22">
        <f t="shared" si="924"/>
        <v>0</v>
      </c>
      <c r="BF213" s="22"/>
      <c r="BG213" s="22"/>
      <c r="BH213" s="22">
        <f t="shared" si="925"/>
        <v>0</v>
      </c>
      <c r="BI213" s="22"/>
      <c r="BJ213" s="40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48"/>
      <c r="CF213" s="48"/>
      <c r="CG213" s="48"/>
      <c r="CH213" s="48"/>
      <c r="CI213" s="48"/>
      <c r="CJ213" s="48"/>
      <c r="CK213" s="48"/>
      <c r="CL213" s="48"/>
      <c r="CM213" s="48"/>
      <c r="CN213" s="48"/>
      <c r="CO213" s="48"/>
      <c r="CP213" s="48"/>
      <c r="CQ213" s="48"/>
      <c r="CR213" s="48"/>
      <c r="CS213" s="48"/>
      <c r="CT213" s="48"/>
      <c r="CU213" s="48"/>
      <c r="CV213" s="48"/>
      <c r="CW213" s="19"/>
      <c r="CX213" s="19"/>
      <c r="CY213" s="19"/>
      <c r="CZ213" s="19"/>
      <c r="DA213" s="21"/>
      <c r="DB213" s="21"/>
      <c r="DC213" s="79"/>
      <c r="DD213" s="79"/>
      <c r="DE213" s="79"/>
      <c r="DF213" s="79"/>
      <c r="DG213" s="79"/>
      <c r="DH213" s="51"/>
      <c r="DI213" s="39"/>
      <c r="DJ213" s="80"/>
      <c r="DK213" s="39"/>
      <c r="DL213" s="39"/>
      <c r="DM213" s="48"/>
      <c r="DN213" s="39"/>
      <c r="DO213" s="39"/>
      <c r="DP213" s="39"/>
      <c r="DQ213" s="39"/>
      <c r="DR213" s="39"/>
      <c r="DS213" s="39"/>
      <c r="DT213" s="39"/>
      <c r="DU213" s="19">
        <f t="shared" si="926"/>
        <v>0</v>
      </c>
      <c r="DV213" s="40">
        <f t="shared" si="912"/>
        <v>0</v>
      </c>
      <c r="DW213" s="40">
        <f t="shared" si="913"/>
        <v>0</v>
      </c>
      <c r="DX213" s="46"/>
      <c r="DY213" s="21">
        <f t="shared" si="914"/>
        <v>0</v>
      </c>
      <c r="DZ213" s="19">
        <f t="shared" si="915"/>
        <v>0</v>
      </c>
      <c r="EA213" s="19">
        <f t="shared" si="916"/>
        <v>0</v>
      </c>
      <c r="EB213" s="19"/>
      <c r="EC213" s="48">
        <f t="shared" si="934"/>
        <v>0</v>
      </c>
      <c r="ED213" s="48">
        <f t="shared" si="935"/>
        <v>0</v>
      </c>
      <c r="EE213" s="22"/>
      <c r="EF213" s="22"/>
      <c r="EG213" s="22">
        <f t="shared" si="917"/>
        <v>0</v>
      </c>
      <c r="EH213" s="22"/>
      <c r="EI213" s="22"/>
      <c r="EJ213" s="22">
        <f t="shared" si="918"/>
        <v>0</v>
      </c>
      <c r="EK213" s="40"/>
      <c r="EL213" s="19"/>
      <c r="EM213" s="19"/>
      <c r="EN213" s="40">
        <f t="shared" si="891"/>
        <v>0</v>
      </c>
      <c r="EO213" s="40">
        <f t="shared" si="892"/>
        <v>0</v>
      </c>
      <c r="EP213" s="40"/>
      <c r="EQ213" s="21">
        <f t="shared" si="888"/>
        <v>0</v>
      </c>
      <c r="ER213" s="21"/>
      <c r="ES213" s="21">
        <f t="shared" si="936"/>
        <v>0</v>
      </c>
      <c r="ET213" s="21"/>
      <c r="EU213" s="19">
        <f t="shared" si="893"/>
        <v>0</v>
      </c>
      <c r="EV213" s="21"/>
      <c r="EW213" s="39"/>
      <c r="EX213" s="39">
        <f t="shared" si="882"/>
        <v>0</v>
      </c>
      <c r="EY213" s="39">
        <f t="shared" si="867"/>
        <v>0</v>
      </c>
      <c r="EZ213" s="39"/>
      <c r="FA213" s="39"/>
      <c r="FB213" s="39"/>
      <c r="FC213" s="39"/>
      <c r="FD213" s="39"/>
      <c r="FE213" s="39"/>
      <c r="FF213" s="39"/>
      <c r="FG213" s="39"/>
      <c r="FH213" s="39"/>
      <c r="FI213" s="39"/>
      <c r="FJ213" s="19">
        <f t="shared" si="894"/>
        <v>0</v>
      </c>
      <c r="FK213" s="19">
        <f t="shared" si="895"/>
        <v>0</v>
      </c>
      <c r="FL213" s="19">
        <f t="shared" si="896"/>
        <v>0</v>
      </c>
      <c r="FM213" s="19"/>
      <c r="FN213" s="19"/>
      <c r="FO213" s="22"/>
      <c r="FP213" s="22"/>
      <c r="FQ213" s="22"/>
      <c r="FR213" s="22"/>
      <c r="FS213" s="22"/>
      <c r="FT213" s="22"/>
      <c r="FU213" s="40"/>
      <c r="FV213" s="19"/>
      <c r="FW213" s="19"/>
      <c r="FX213" s="19"/>
      <c r="FY213" s="19"/>
      <c r="FZ213" s="19"/>
      <c r="GA213" s="19"/>
      <c r="GB213" s="19"/>
      <c r="GC213" s="20"/>
      <c r="GD213" s="20"/>
      <c r="GE213" s="21"/>
      <c r="GF213" s="21"/>
      <c r="GG213" s="21"/>
      <c r="GH213" s="21"/>
      <c r="GI213" s="21"/>
      <c r="GJ213" s="21"/>
      <c r="GK213" s="21"/>
      <c r="GL213" s="21"/>
      <c r="GM213" s="19"/>
      <c r="GN213" s="19"/>
      <c r="GO213" s="22"/>
      <c r="GP213" s="22"/>
      <c r="GQ213" s="22"/>
      <c r="GR213" s="22"/>
      <c r="GS213" s="22"/>
      <c r="GT213" s="22"/>
      <c r="GU213" s="43"/>
      <c r="GV213" s="19"/>
      <c r="GW213" s="19"/>
      <c r="GX213" s="19"/>
      <c r="GY213" s="19"/>
      <c r="GZ213" s="23"/>
      <c r="HA213" s="22"/>
      <c r="HB213" s="22"/>
      <c r="HC213" s="22"/>
      <c r="HD213" s="22"/>
      <c r="HE213" s="22"/>
      <c r="HF213" s="22"/>
      <c r="HG213" s="233"/>
    </row>
    <row r="214" spans="2:215" ht="15.75">
      <c r="B214" s="10"/>
      <c r="C214" s="184" t="s">
        <v>131</v>
      </c>
      <c r="D214" s="73"/>
      <c r="E214" s="73"/>
      <c r="F214" s="74"/>
      <c r="G214" s="74"/>
      <c r="H214" s="74"/>
      <c r="I214" s="73"/>
      <c r="J214" s="74"/>
      <c r="K214" s="74"/>
      <c r="L214" s="74"/>
      <c r="M214" s="191"/>
      <c r="N214" s="191"/>
      <c r="O214" s="74"/>
      <c r="P214" s="74"/>
      <c r="Q214" s="74"/>
      <c r="R214" s="191"/>
      <c r="S214" s="74"/>
      <c r="T214" s="74"/>
      <c r="U214" s="74"/>
      <c r="V214" s="52"/>
      <c r="W214" s="52"/>
      <c r="X214" s="52"/>
      <c r="Y214" s="52"/>
      <c r="Z214" s="22"/>
      <c r="AA214" s="52"/>
      <c r="AB214" s="22"/>
      <c r="AC214" s="52"/>
      <c r="AD214" s="22">
        <v>69.459999999999994</v>
      </c>
      <c r="AE214" s="22">
        <f>+IF(AC214=0,,AF214/AC214*100)</f>
        <v>0</v>
      </c>
      <c r="AF214" s="22">
        <v>69.459999999999994</v>
      </c>
      <c r="AG214" s="22">
        <f t="shared" si="889"/>
        <v>100</v>
      </c>
      <c r="AH214" s="52"/>
      <c r="AI214" s="52"/>
      <c r="AJ214" s="52"/>
      <c r="AK214" s="52"/>
      <c r="AL214" s="22"/>
      <c r="AM214" s="52"/>
      <c r="AN214" s="22"/>
      <c r="AO214" s="22"/>
      <c r="AP214" s="22"/>
      <c r="AQ214" s="22"/>
      <c r="AR214" s="22">
        <v>41.78</v>
      </c>
      <c r="AS214" s="22">
        <f>+IF(AQ214=0,,AT214/AQ214*100)</f>
        <v>0</v>
      </c>
      <c r="AT214" s="22">
        <v>46.24</v>
      </c>
      <c r="AU214" s="22">
        <f t="shared" si="890"/>
        <v>110.67496409765438</v>
      </c>
      <c r="AV214" s="77"/>
      <c r="AW214" s="77"/>
      <c r="AX214" s="239" t="s">
        <v>358</v>
      </c>
      <c r="AY214" s="22">
        <f t="shared" si="898"/>
        <v>437.12699999999995</v>
      </c>
      <c r="AZ214" s="22">
        <f>+[3]БПр!$AC$972/1000</f>
        <v>311.31599999999997</v>
      </c>
      <c r="BA214" s="22">
        <f>+[3]БПр!$AB$974/1000</f>
        <v>57.857999999999997</v>
      </c>
      <c r="BB214" s="22">
        <f>+[3]БПр!$AD$972/1000</f>
        <v>67.953000000000003</v>
      </c>
      <c r="BC214" s="22">
        <v>69.459999999999994</v>
      </c>
      <c r="BD214" s="22">
        <v>72.37</v>
      </c>
      <c r="BE214" s="22">
        <f t="shared" si="924"/>
        <v>104.18946156061044</v>
      </c>
      <c r="BF214" s="22">
        <v>46.24</v>
      </c>
      <c r="BG214" s="22">
        <v>48.18</v>
      </c>
      <c r="BH214" s="22">
        <f t="shared" si="925"/>
        <v>104.19550173010381</v>
      </c>
      <c r="BI214" s="22"/>
      <c r="BJ214" s="239" t="s">
        <v>359</v>
      </c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48"/>
      <c r="CF214" s="48"/>
      <c r="CG214" s="48"/>
      <c r="CH214" s="48"/>
      <c r="CI214" s="48"/>
      <c r="CJ214" s="48"/>
      <c r="CK214" s="48"/>
      <c r="CL214" s="48"/>
      <c r="CM214" s="48"/>
      <c r="CN214" s="48"/>
      <c r="CO214" s="48"/>
      <c r="CP214" s="48"/>
      <c r="CQ214" s="48"/>
      <c r="CR214" s="48"/>
      <c r="CS214" s="48"/>
      <c r="CT214" s="48"/>
      <c r="CU214" s="48"/>
      <c r="CV214" s="48"/>
      <c r="CW214" s="19"/>
      <c r="CX214" s="19"/>
      <c r="CY214" s="19"/>
      <c r="CZ214" s="19"/>
      <c r="DA214" s="21"/>
      <c r="DB214" s="21"/>
      <c r="DC214" s="79"/>
      <c r="DD214" s="79"/>
      <c r="DE214" s="79"/>
      <c r="DF214" s="79"/>
      <c r="DG214" s="79"/>
      <c r="DH214" s="51"/>
      <c r="DI214" s="39"/>
      <c r="DJ214" s="80"/>
      <c r="DK214" s="39"/>
      <c r="DL214" s="39"/>
      <c r="DM214" s="48"/>
      <c r="DN214" s="39"/>
      <c r="DO214" s="39"/>
      <c r="DP214" s="39"/>
      <c r="DQ214" s="39"/>
      <c r="DR214" s="39"/>
      <c r="DS214" s="39">
        <f>+BD214*1.18</f>
        <v>85.396600000000007</v>
      </c>
      <c r="DT214" s="39"/>
      <c r="DU214" s="19">
        <f t="shared" si="926"/>
        <v>12199.365966101695</v>
      </c>
      <c r="DV214" s="40">
        <f t="shared" si="912"/>
        <v>12711.190576271187</v>
      </c>
      <c r="DW214" s="40">
        <f t="shared" si="913"/>
        <v>22529.938920000001</v>
      </c>
      <c r="DX214" s="46"/>
      <c r="DY214" s="21">
        <f t="shared" si="914"/>
        <v>56.419108020694033</v>
      </c>
      <c r="DZ214" s="19">
        <f t="shared" si="915"/>
        <v>30.362841419999992</v>
      </c>
      <c r="EA214" s="19">
        <f t="shared" si="916"/>
        <v>31.634880989999999</v>
      </c>
      <c r="EB214" s="19"/>
      <c r="EC214" s="48">
        <f>+(BC214-BF214/1.18)*AZ214</f>
        <v>9424.6433938983009</v>
      </c>
      <c r="ED214" s="48">
        <f>+(BD214-BG214/1.18)*AZ214</f>
        <v>9818.7483437288138</v>
      </c>
      <c r="EE214" s="22">
        <v>72.37</v>
      </c>
      <c r="EF214" s="22">
        <v>76.709999999999994</v>
      </c>
      <c r="EG214" s="22">
        <f t="shared" si="917"/>
        <v>105.99696006632581</v>
      </c>
      <c r="EH214" s="22">
        <v>48.18</v>
      </c>
      <c r="EI214" s="22">
        <v>52.25</v>
      </c>
      <c r="EJ214" s="22">
        <f t="shared" si="918"/>
        <v>108.44748858447488</v>
      </c>
      <c r="EK214" s="239" t="s">
        <v>360</v>
      </c>
      <c r="EL214" s="19">
        <v>390.4</v>
      </c>
      <c r="EM214" s="19">
        <v>267.06</v>
      </c>
      <c r="EN214" s="40">
        <f t="shared" si="891"/>
        <v>11825.326271186441</v>
      </c>
      <c r="EO214" s="40">
        <f t="shared" si="892"/>
        <v>20486.172599999998</v>
      </c>
      <c r="EP214" s="40"/>
      <c r="EQ214" s="21">
        <f t="shared" si="888"/>
        <v>57.723453287640666</v>
      </c>
      <c r="ER214" s="21"/>
      <c r="ES214" s="21">
        <f t="shared" si="936"/>
        <v>28253.248</v>
      </c>
      <c r="ET214" s="21"/>
      <c r="EU214" s="19">
        <f t="shared" si="893"/>
        <v>29947.583999999995</v>
      </c>
      <c r="EV214" s="21"/>
      <c r="EW214" s="39"/>
      <c r="EX214" s="39">
        <f t="shared" si="882"/>
        <v>31634.880989999998</v>
      </c>
      <c r="EY214" s="39">
        <f t="shared" si="867"/>
        <v>33532.012169999995</v>
      </c>
      <c r="EZ214" s="39"/>
      <c r="FA214" s="39"/>
      <c r="FB214" s="39"/>
      <c r="FC214" s="39"/>
      <c r="FD214" s="39"/>
      <c r="FE214" s="39"/>
      <c r="FF214" s="39"/>
      <c r="FG214" s="39"/>
      <c r="FH214" s="39"/>
      <c r="FI214" s="39"/>
      <c r="FJ214" s="19">
        <f t="shared" si="894"/>
        <v>8422.9366067796618</v>
      </c>
      <c r="FK214" s="19">
        <f t="shared" si="895"/>
        <v>8660.8463288135572</v>
      </c>
      <c r="FL214" s="19">
        <f t="shared" si="896"/>
        <v>17083.782935593219</v>
      </c>
      <c r="FM214" s="19">
        <v>393.21800000000002</v>
      </c>
      <c r="FN214" s="19">
        <v>276.89800000000002</v>
      </c>
      <c r="FO214" s="22">
        <v>92.64</v>
      </c>
      <c r="FP214" s="22">
        <v>94.68</v>
      </c>
      <c r="FQ214" s="22"/>
      <c r="FR214" s="22">
        <v>68.349999999999994</v>
      </c>
      <c r="FS214" s="22">
        <v>68.349999999999994</v>
      </c>
      <c r="FT214" s="22"/>
      <c r="FU214" s="239" t="s">
        <v>649</v>
      </c>
      <c r="FV214" s="19"/>
      <c r="FW214" s="19"/>
      <c r="FX214" s="19"/>
      <c r="FY214" s="19"/>
      <c r="FZ214" s="19"/>
      <c r="GA214" s="19"/>
      <c r="GB214" s="19"/>
      <c r="GC214" s="20"/>
      <c r="GD214" s="20"/>
      <c r="GE214" s="21"/>
      <c r="GF214" s="21"/>
      <c r="GG214" s="21"/>
      <c r="GH214" s="21"/>
      <c r="GI214" s="21"/>
      <c r="GJ214" s="21"/>
      <c r="GK214" s="21"/>
      <c r="GL214" s="21"/>
      <c r="GM214" s="19"/>
      <c r="GN214" s="19"/>
      <c r="GO214" s="22">
        <v>94.68</v>
      </c>
      <c r="GP214" s="22">
        <v>96.46</v>
      </c>
      <c r="GQ214" s="22"/>
      <c r="GR214" s="22">
        <v>68.349999999999994</v>
      </c>
      <c r="GS214" s="22">
        <v>71.08</v>
      </c>
      <c r="GT214" s="22"/>
      <c r="GU214" s="239" t="s">
        <v>649</v>
      </c>
      <c r="GV214" s="19"/>
      <c r="GW214" s="19"/>
      <c r="GX214" s="19"/>
      <c r="GY214" s="19"/>
      <c r="GZ214" s="23"/>
      <c r="HA214" s="22">
        <v>96.46</v>
      </c>
      <c r="HB214" s="22">
        <v>94.67</v>
      </c>
      <c r="HC214" s="22"/>
      <c r="HD214" s="22">
        <v>71.08</v>
      </c>
      <c r="HE214" s="22">
        <v>73.92</v>
      </c>
      <c r="HF214" s="22"/>
      <c r="HG214" s="239" t="s">
        <v>649</v>
      </c>
    </row>
    <row r="215" spans="2:215" ht="15.75">
      <c r="B215" s="10"/>
      <c r="C215" s="184" t="s">
        <v>249</v>
      </c>
      <c r="D215" s="73"/>
      <c r="E215" s="73"/>
      <c r="F215" s="74"/>
      <c r="G215" s="74"/>
      <c r="H215" s="74"/>
      <c r="I215" s="73"/>
      <c r="J215" s="74"/>
      <c r="K215" s="74"/>
      <c r="L215" s="74"/>
      <c r="M215" s="191"/>
      <c r="N215" s="191"/>
      <c r="O215" s="74"/>
      <c r="P215" s="74"/>
      <c r="Q215" s="74"/>
      <c r="R215" s="191"/>
      <c r="S215" s="74"/>
      <c r="T215" s="74"/>
      <c r="U215" s="74"/>
      <c r="V215" s="52"/>
      <c r="W215" s="52"/>
      <c r="X215" s="52"/>
      <c r="Y215" s="52"/>
      <c r="Z215" s="22"/>
      <c r="AA215" s="52"/>
      <c r="AB215" s="22"/>
      <c r="AC215" s="52"/>
      <c r="AD215" s="22">
        <v>46.19</v>
      </c>
      <c r="AE215" s="22">
        <f>+IF(AC215=0,,AF215/AC215*100)</f>
        <v>0</v>
      </c>
      <c r="AF215" s="22">
        <v>46.19</v>
      </c>
      <c r="AG215" s="22">
        <f t="shared" si="889"/>
        <v>100</v>
      </c>
      <c r="AH215" s="52"/>
      <c r="AI215" s="52"/>
      <c r="AJ215" s="52"/>
      <c r="AK215" s="52"/>
      <c r="AL215" s="22"/>
      <c r="AM215" s="52"/>
      <c r="AN215" s="22"/>
      <c r="AO215" s="22"/>
      <c r="AP215" s="22"/>
      <c r="AQ215" s="22"/>
      <c r="AR215" s="22">
        <v>23.009999999999998</v>
      </c>
      <c r="AS215" s="22">
        <f>+IF(AQ215=0,,AT215/AQ215*100)</f>
        <v>0</v>
      </c>
      <c r="AT215" s="22">
        <v>25.45</v>
      </c>
      <c r="AU215" s="22">
        <f t="shared" si="890"/>
        <v>110.60408518035638</v>
      </c>
      <c r="AV215" s="77"/>
      <c r="AW215" s="77"/>
      <c r="AX215" s="239"/>
      <c r="AY215" s="22">
        <f t="shared" si="898"/>
        <v>517.2320000000002</v>
      </c>
      <c r="AZ215" s="22">
        <f>+[4]БПр!$O$970/1000</f>
        <v>231.60700000000006</v>
      </c>
      <c r="BA215" s="22">
        <f>+[4]БПр!$N$970/1000</f>
        <v>15.999000000000001</v>
      </c>
      <c r="BB215" s="22">
        <f>+[4]БПр!$P$970/1000</f>
        <v>269.62600000000009</v>
      </c>
      <c r="BC215" s="22">
        <v>46.19</v>
      </c>
      <c r="BD215" s="22">
        <v>48.12</v>
      </c>
      <c r="BE215" s="22">
        <f t="shared" si="924"/>
        <v>104.1783935916865</v>
      </c>
      <c r="BF215" s="22">
        <v>25.45</v>
      </c>
      <c r="BG215" s="22">
        <v>26.51</v>
      </c>
      <c r="BH215" s="22">
        <f t="shared" si="925"/>
        <v>104.16502946954813</v>
      </c>
      <c r="BI215" s="22"/>
      <c r="BJ215" s="23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48"/>
      <c r="CF215" s="48"/>
      <c r="CG215" s="48"/>
      <c r="CH215" s="48"/>
      <c r="CI215" s="48"/>
      <c r="CJ215" s="48"/>
      <c r="CK215" s="48"/>
      <c r="CL215" s="48"/>
      <c r="CM215" s="48"/>
      <c r="CN215" s="48"/>
      <c r="CO215" s="48"/>
      <c r="CP215" s="48"/>
      <c r="CQ215" s="48"/>
      <c r="CR215" s="48"/>
      <c r="CS215" s="48"/>
      <c r="CT215" s="48"/>
      <c r="CU215" s="48"/>
      <c r="CV215" s="48"/>
      <c r="CW215" s="19"/>
      <c r="CX215" s="19"/>
      <c r="CY215" s="19"/>
      <c r="CZ215" s="19"/>
      <c r="DA215" s="21"/>
      <c r="DB215" s="21"/>
      <c r="DC215" s="79"/>
      <c r="DD215" s="79"/>
      <c r="DE215" s="79"/>
      <c r="DF215" s="79"/>
      <c r="DG215" s="79"/>
      <c r="DH215" s="51"/>
      <c r="DI215" s="39"/>
      <c r="DJ215" s="80"/>
      <c r="DK215" s="39"/>
      <c r="DL215" s="39"/>
      <c r="DM215" s="48"/>
      <c r="DN215" s="39"/>
      <c r="DO215" s="39"/>
      <c r="DP215" s="39"/>
      <c r="DQ215" s="39"/>
      <c r="DR215" s="39"/>
      <c r="DS215" s="39"/>
      <c r="DT215" s="39"/>
      <c r="DU215" s="19">
        <f t="shared" si="926"/>
        <v>4995.2526694915268</v>
      </c>
      <c r="DV215" s="40">
        <f t="shared" si="912"/>
        <v>5203.3064152542393</v>
      </c>
      <c r="DW215" s="40">
        <f t="shared" si="913"/>
        <v>11144.928840000002</v>
      </c>
      <c r="DX215" s="46"/>
      <c r="DY215" s="21">
        <f t="shared" si="914"/>
        <v>46.687659382616914</v>
      </c>
      <c r="DZ215" s="19">
        <f t="shared" si="915"/>
        <v>23.89094608000001</v>
      </c>
      <c r="EA215" s="19">
        <f t="shared" si="916"/>
        <v>24.889203840000008</v>
      </c>
      <c r="EB215" s="19"/>
      <c r="EC215" s="48">
        <f>+(BC215-BF215/1.18)*AZ215</f>
        <v>5702.6746605084754</v>
      </c>
      <c r="ED215" s="48">
        <f>+(BD215-BG215/1.18)*AZ215</f>
        <v>5941.6224247457631</v>
      </c>
      <c r="EE215" s="22">
        <v>48.12</v>
      </c>
      <c r="EF215" s="22">
        <v>51.01</v>
      </c>
      <c r="EG215" s="22">
        <f t="shared" si="917"/>
        <v>106.00581878636741</v>
      </c>
      <c r="EH215" s="22">
        <v>26.51</v>
      </c>
      <c r="EI215" s="22">
        <v>28.75</v>
      </c>
      <c r="EJ215" s="22">
        <f t="shared" si="918"/>
        <v>108.44964164466238</v>
      </c>
      <c r="EK215" s="239"/>
      <c r="EL215" s="19">
        <v>491.33</v>
      </c>
      <c r="EM215" s="19">
        <v>208.61</v>
      </c>
      <c r="EN215" s="40">
        <f t="shared" si="891"/>
        <v>5082.6588983050851</v>
      </c>
      <c r="EO215" s="40">
        <f t="shared" si="892"/>
        <v>10641.196100000001</v>
      </c>
      <c r="EP215" s="40"/>
      <c r="EQ215" s="21">
        <f t="shared" si="888"/>
        <v>47.763981140288209</v>
      </c>
      <c r="ER215" s="21"/>
      <c r="ES215" s="21">
        <f t="shared" si="936"/>
        <v>23642.799599999998</v>
      </c>
      <c r="ET215" s="21"/>
      <c r="EU215" s="19">
        <f t="shared" si="893"/>
        <v>25062.743299999998</v>
      </c>
      <c r="EV215" s="21"/>
      <c r="EW215" s="39"/>
      <c r="EX215" s="39">
        <f t="shared" si="882"/>
        <v>24889.203840000009</v>
      </c>
      <c r="EY215" s="39">
        <f t="shared" ref="EY215:EY257" si="951">+EF215*AY215</f>
        <v>26384.004320000007</v>
      </c>
      <c r="EZ215" s="39"/>
      <c r="FA215" s="39"/>
      <c r="FB215" s="39"/>
      <c r="FC215" s="39"/>
      <c r="FD215" s="39"/>
      <c r="FE215" s="166"/>
      <c r="FF215" s="166"/>
      <c r="FG215" s="39"/>
      <c r="FH215" s="39"/>
      <c r="FI215" s="39"/>
      <c r="FJ215" s="19">
        <f t="shared" si="894"/>
        <v>5351.6597254237286</v>
      </c>
      <c r="FK215" s="19">
        <f t="shared" si="895"/>
        <v>5558.537201694915</v>
      </c>
      <c r="FL215" s="19">
        <f t="shared" si="896"/>
        <v>10910.196927118643</v>
      </c>
      <c r="FM215" s="19">
        <v>426.65100000000001</v>
      </c>
      <c r="FN215" s="19">
        <v>199.21</v>
      </c>
      <c r="FO215" s="22">
        <v>62.69</v>
      </c>
      <c r="FP215" s="22">
        <v>62.69</v>
      </c>
      <c r="FQ215" s="22"/>
      <c r="FR215" s="22">
        <v>38.229999999999997</v>
      </c>
      <c r="FS215" s="22">
        <v>38.229999999999997</v>
      </c>
      <c r="FT215" s="22"/>
      <c r="FU215" s="239"/>
      <c r="FV215" s="19"/>
      <c r="FW215" s="19"/>
      <c r="FX215" s="19"/>
      <c r="FY215" s="19"/>
      <c r="FZ215" s="19"/>
      <c r="GA215" s="19"/>
      <c r="GB215" s="19"/>
      <c r="GC215" s="20"/>
      <c r="GD215" s="20"/>
      <c r="GE215" s="21"/>
      <c r="GF215" s="21"/>
      <c r="GG215" s="21"/>
      <c r="GH215" s="21"/>
      <c r="GI215" s="21"/>
      <c r="GJ215" s="21"/>
      <c r="GK215" s="21"/>
      <c r="GL215" s="21"/>
      <c r="GM215" s="19"/>
      <c r="GN215" s="19"/>
      <c r="GO215" s="22">
        <v>62.69</v>
      </c>
      <c r="GP215" s="22">
        <v>64.7</v>
      </c>
      <c r="GQ215" s="22"/>
      <c r="GR215" s="22">
        <v>38.229999999999997</v>
      </c>
      <c r="GS215" s="22">
        <v>39.76</v>
      </c>
      <c r="GT215" s="22"/>
      <c r="GU215" s="239"/>
      <c r="GV215" s="19"/>
      <c r="GW215" s="19"/>
      <c r="GX215" s="19"/>
      <c r="GY215" s="19"/>
      <c r="GZ215" s="23"/>
      <c r="HA215" s="22">
        <v>64.7</v>
      </c>
      <c r="HB215" s="22">
        <v>66.42</v>
      </c>
      <c r="HC215" s="22"/>
      <c r="HD215" s="22">
        <v>39.76</v>
      </c>
      <c r="HE215" s="22">
        <v>41.35</v>
      </c>
      <c r="HF215" s="22"/>
      <c r="HG215" s="239"/>
    </row>
    <row r="216" spans="2:215" ht="15.75">
      <c r="B216" s="10" t="s">
        <v>361</v>
      </c>
      <c r="C216" s="81" t="s">
        <v>607</v>
      </c>
      <c r="D216" s="82"/>
      <c r="E216" s="73"/>
      <c r="F216" s="74"/>
      <c r="G216" s="74"/>
      <c r="H216" s="74"/>
      <c r="I216" s="75"/>
      <c r="J216" s="73"/>
      <c r="K216" s="73"/>
      <c r="L216" s="75"/>
      <c r="M216" s="82"/>
      <c r="N216" s="75"/>
      <c r="O216" s="74"/>
      <c r="P216" s="74"/>
      <c r="Q216" s="74"/>
      <c r="R216" s="75"/>
      <c r="S216" s="74"/>
      <c r="T216" s="74"/>
      <c r="U216" s="74"/>
      <c r="V216" s="52"/>
      <c r="W216" s="52"/>
      <c r="X216" s="52"/>
      <c r="Y216" s="52"/>
      <c r="Z216" s="22"/>
      <c r="AA216" s="52"/>
      <c r="AB216" s="22"/>
      <c r="AC216" s="52"/>
      <c r="AD216" s="52"/>
      <c r="AE216" s="22"/>
      <c r="AF216" s="52"/>
      <c r="AG216" s="22"/>
      <c r="AH216" s="52"/>
      <c r="AI216" s="52"/>
      <c r="AJ216" s="52"/>
      <c r="AK216" s="52"/>
      <c r="AL216" s="22"/>
      <c r="AM216" s="52"/>
      <c r="AN216" s="22"/>
      <c r="AO216" s="22"/>
      <c r="AP216" s="22"/>
      <c r="AQ216" s="52"/>
      <c r="AR216" s="52"/>
      <c r="AS216" s="22"/>
      <c r="AT216" s="22"/>
      <c r="AU216" s="22"/>
      <c r="AV216" s="77"/>
      <c r="AW216" s="77"/>
      <c r="AX216" s="78"/>
      <c r="AY216" s="22"/>
      <c r="AZ216" s="22"/>
      <c r="BA216" s="22"/>
      <c r="BB216" s="22"/>
      <c r="BC216" s="52"/>
      <c r="BD216" s="52"/>
      <c r="BE216" s="22"/>
      <c r="BF216" s="52"/>
      <c r="BG216" s="52"/>
      <c r="BH216" s="22"/>
      <c r="BI216" s="22"/>
      <c r="BJ216" s="40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48"/>
      <c r="CF216" s="48"/>
      <c r="CG216" s="48"/>
      <c r="CH216" s="48"/>
      <c r="CI216" s="48"/>
      <c r="CJ216" s="48"/>
      <c r="CK216" s="48"/>
      <c r="CL216" s="48"/>
      <c r="CM216" s="48"/>
      <c r="CN216" s="48"/>
      <c r="CO216" s="48"/>
      <c r="CP216" s="48"/>
      <c r="CQ216" s="48"/>
      <c r="CR216" s="48"/>
      <c r="CS216" s="48"/>
      <c r="CT216" s="48"/>
      <c r="CU216" s="48"/>
      <c r="CV216" s="48"/>
      <c r="CW216" s="19"/>
      <c r="CX216" s="19"/>
      <c r="CY216" s="19"/>
      <c r="CZ216" s="19"/>
      <c r="DA216" s="21"/>
      <c r="DB216" s="21"/>
      <c r="DC216" s="79"/>
      <c r="DD216" s="79"/>
      <c r="DE216" s="79"/>
      <c r="DF216" s="79"/>
      <c r="DG216" s="79"/>
      <c r="DH216" s="51"/>
      <c r="DI216" s="39"/>
      <c r="DJ216" s="80"/>
      <c r="DK216" s="39"/>
      <c r="DL216" s="39"/>
      <c r="DM216" s="48"/>
      <c r="DN216" s="39"/>
      <c r="DO216" s="39"/>
      <c r="DP216" s="39"/>
      <c r="DQ216" s="39"/>
      <c r="DR216" s="39"/>
      <c r="DS216" s="39"/>
      <c r="DT216" s="39"/>
      <c r="DU216" s="19"/>
      <c r="DV216" s="40"/>
      <c r="DW216" s="40"/>
      <c r="DX216" s="21"/>
      <c r="DY216" s="21"/>
      <c r="DZ216" s="19"/>
      <c r="EA216" s="19"/>
      <c r="EB216" s="19"/>
      <c r="EC216" s="48"/>
      <c r="ED216" s="48"/>
      <c r="EE216" s="52"/>
      <c r="EF216" s="52"/>
      <c r="EG216" s="22"/>
      <c r="EH216" s="52"/>
      <c r="EI216" s="52"/>
      <c r="EJ216" s="22"/>
      <c r="EK216" s="40"/>
      <c r="EL216" s="19"/>
      <c r="EM216" s="19"/>
      <c r="EN216" s="40"/>
      <c r="EO216" s="40"/>
      <c r="EP216" s="40"/>
      <c r="EQ216" s="21"/>
      <c r="ER216" s="21"/>
      <c r="ES216" s="19"/>
      <c r="ET216" s="19"/>
      <c r="EU216" s="19"/>
      <c r="EV216" s="21"/>
      <c r="EW216" s="39"/>
      <c r="EX216" s="39"/>
      <c r="EY216" s="39"/>
      <c r="EZ216" s="39"/>
      <c r="FA216" s="39"/>
      <c r="FB216" s="39"/>
      <c r="FC216" s="39"/>
      <c r="FD216" s="39"/>
      <c r="FE216" s="39"/>
      <c r="FF216" s="39"/>
      <c r="FG216" s="39"/>
      <c r="FH216" s="39"/>
      <c r="FI216" s="39"/>
      <c r="FJ216" s="19"/>
      <c r="FK216" s="19"/>
      <c r="FL216" s="19"/>
      <c r="FM216" s="19"/>
      <c r="FN216" s="19"/>
      <c r="FO216" s="52"/>
      <c r="FP216" s="52"/>
      <c r="FQ216" s="22"/>
      <c r="FR216" s="52"/>
      <c r="FS216" s="22"/>
      <c r="FT216" s="22"/>
      <c r="FU216" s="40"/>
      <c r="FV216" s="19"/>
      <c r="FW216" s="19"/>
      <c r="FX216" s="19"/>
      <c r="FY216" s="19"/>
      <c r="FZ216" s="19"/>
      <c r="GA216" s="19"/>
      <c r="GB216" s="19"/>
      <c r="GC216" s="20"/>
      <c r="GD216" s="20"/>
      <c r="GE216" s="19"/>
      <c r="GF216" s="21"/>
      <c r="GG216" s="19"/>
      <c r="GH216" s="19"/>
      <c r="GI216" s="19"/>
      <c r="GJ216" s="21"/>
      <c r="GK216" s="19"/>
      <c r="GL216" s="19"/>
      <c r="GM216" s="19"/>
      <c r="GN216" s="19"/>
      <c r="GO216" s="52"/>
      <c r="GP216" s="52"/>
      <c r="GQ216" s="22"/>
      <c r="GR216" s="22"/>
      <c r="GS216" s="22"/>
      <c r="GT216" s="22"/>
      <c r="GU216" s="43"/>
      <c r="GV216" s="19"/>
      <c r="GW216" s="19"/>
      <c r="GX216" s="19"/>
      <c r="GY216" s="19"/>
      <c r="GZ216" s="19"/>
      <c r="HA216" s="52"/>
      <c r="HB216" s="52"/>
      <c r="HC216" s="22"/>
      <c r="HD216" s="52"/>
      <c r="HE216" s="22"/>
      <c r="HF216" s="22"/>
      <c r="HG216" s="233"/>
    </row>
    <row r="217" spans="2:215" ht="15.75">
      <c r="B217" s="10"/>
      <c r="C217" s="161" t="s">
        <v>153</v>
      </c>
      <c r="D217" s="82"/>
      <c r="E217" s="73"/>
      <c r="F217" s="74"/>
      <c r="G217" s="74"/>
      <c r="H217" s="74"/>
      <c r="I217" s="75"/>
      <c r="J217" s="73"/>
      <c r="K217" s="73"/>
      <c r="L217" s="75"/>
      <c r="M217" s="82"/>
      <c r="N217" s="75"/>
      <c r="O217" s="74"/>
      <c r="P217" s="74"/>
      <c r="Q217" s="74"/>
      <c r="R217" s="75"/>
      <c r="S217" s="74"/>
      <c r="T217" s="74"/>
      <c r="U217" s="74"/>
      <c r="V217" s="52"/>
      <c r="W217" s="52"/>
      <c r="X217" s="52"/>
      <c r="Y217" s="52"/>
      <c r="Z217" s="22"/>
      <c r="AA217" s="52"/>
      <c r="AB217" s="22"/>
      <c r="AC217" s="52"/>
      <c r="AD217" s="52"/>
      <c r="AE217" s="22"/>
      <c r="AF217" s="52"/>
      <c r="AG217" s="22"/>
      <c r="AH217" s="52"/>
      <c r="AI217" s="52"/>
      <c r="AJ217" s="52"/>
      <c r="AK217" s="52"/>
      <c r="AL217" s="22"/>
      <c r="AM217" s="52"/>
      <c r="AN217" s="22"/>
      <c r="AO217" s="22"/>
      <c r="AP217" s="22"/>
      <c r="AQ217" s="52"/>
      <c r="AR217" s="52"/>
      <c r="AS217" s="22"/>
      <c r="AT217" s="22"/>
      <c r="AU217" s="22"/>
      <c r="AV217" s="77"/>
      <c r="AW217" s="77"/>
      <c r="AX217" s="78"/>
      <c r="AY217" s="22"/>
      <c r="AZ217" s="22"/>
      <c r="BA217" s="22"/>
      <c r="BB217" s="22"/>
      <c r="BC217" s="52"/>
      <c r="BD217" s="52"/>
      <c r="BE217" s="22"/>
      <c r="BF217" s="52"/>
      <c r="BG217" s="52"/>
      <c r="BH217" s="22"/>
      <c r="BI217" s="22"/>
      <c r="BJ217" s="40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48"/>
      <c r="CF217" s="48"/>
      <c r="CG217" s="48"/>
      <c r="CH217" s="48"/>
      <c r="CI217" s="48"/>
      <c r="CJ217" s="48"/>
      <c r="CK217" s="48"/>
      <c r="CL217" s="48"/>
      <c r="CM217" s="48"/>
      <c r="CN217" s="48"/>
      <c r="CO217" s="48"/>
      <c r="CP217" s="48"/>
      <c r="CQ217" s="48"/>
      <c r="CR217" s="48"/>
      <c r="CS217" s="48"/>
      <c r="CT217" s="48"/>
      <c r="CU217" s="48"/>
      <c r="CV217" s="48"/>
      <c r="CW217" s="19"/>
      <c r="CX217" s="19"/>
      <c r="CY217" s="19"/>
      <c r="CZ217" s="19"/>
      <c r="DA217" s="21"/>
      <c r="DB217" s="21"/>
      <c r="DC217" s="79"/>
      <c r="DD217" s="79"/>
      <c r="DE217" s="79"/>
      <c r="DF217" s="79"/>
      <c r="DG217" s="79"/>
      <c r="DH217" s="51"/>
      <c r="DI217" s="39"/>
      <c r="DJ217" s="80"/>
      <c r="DK217" s="39"/>
      <c r="DL217" s="39"/>
      <c r="DM217" s="48"/>
      <c r="DN217" s="39"/>
      <c r="DO217" s="39"/>
      <c r="DP217" s="39"/>
      <c r="DQ217" s="39"/>
      <c r="DR217" s="39"/>
      <c r="DS217" s="39"/>
      <c r="DT217" s="39"/>
      <c r="DU217" s="19"/>
      <c r="DV217" s="40"/>
      <c r="DW217" s="40"/>
      <c r="DX217" s="21"/>
      <c r="DY217" s="21"/>
      <c r="DZ217" s="19"/>
      <c r="EA217" s="19"/>
      <c r="EB217" s="19"/>
      <c r="EC217" s="48"/>
      <c r="ED217" s="48"/>
      <c r="EE217" s="52"/>
      <c r="EF217" s="52"/>
      <c r="EG217" s="22"/>
      <c r="EH217" s="52"/>
      <c r="EI217" s="52"/>
      <c r="EJ217" s="22"/>
      <c r="EK217" s="40"/>
      <c r="EL217" s="19"/>
      <c r="EM217" s="19"/>
      <c r="EN217" s="40"/>
      <c r="EO217" s="40"/>
      <c r="EP217" s="40"/>
      <c r="EQ217" s="21"/>
      <c r="ER217" s="21"/>
      <c r="ES217" s="19"/>
      <c r="ET217" s="19"/>
      <c r="EU217" s="19"/>
      <c r="EV217" s="21"/>
      <c r="EW217" s="39"/>
      <c r="EX217" s="39"/>
      <c r="EY217" s="39"/>
      <c r="EZ217" s="39"/>
      <c r="FA217" s="39"/>
      <c r="FB217" s="39"/>
      <c r="FC217" s="39"/>
      <c r="FD217" s="39"/>
      <c r="FE217" s="39"/>
      <c r="FF217" s="39"/>
      <c r="FG217" s="39"/>
      <c r="FH217" s="39"/>
      <c r="FI217" s="39"/>
      <c r="FJ217" s="19"/>
      <c r="FK217" s="19"/>
      <c r="FL217" s="19"/>
      <c r="FM217" s="19"/>
      <c r="FN217" s="19"/>
      <c r="FO217" s="52">
        <v>9959.61</v>
      </c>
      <c r="FP217" s="52">
        <v>10382.51</v>
      </c>
      <c r="FQ217" s="22"/>
      <c r="FR217" s="52" t="s">
        <v>633</v>
      </c>
      <c r="FS217" s="22" t="s">
        <v>633</v>
      </c>
      <c r="FT217" s="22"/>
      <c r="FU217" s="40" t="s">
        <v>657</v>
      </c>
      <c r="FV217" s="19"/>
      <c r="FW217" s="19"/>
      <c r="FX217" s="19"/>
      <c r="FY217" s="19"/>
      <c r="FZ217" s="19"/>
      <c r="GA217" s="19"/>
      <c r="GB217" s="19"/>
      <c r="GC217" s="20"/>
      <c r="GD217" s="20"/>
      <c r="GE217" s="19"/>
      <c r="GF217" s="21"/>
      <c r="GG217" s="19"/>
      <c r="GH217" s="19"/>
      <c r="GI217" s="19"/>
      <c r="GJ217" s="21"/>
      <c r="GK217" s="19"/>
      <c r="GL217" s="19"/>
      <c r="GM217" s="19"/>
      <c r="GN217" s="19"/>
      <c r="GO217" s="22">
        <v>10382.51</v>
      </c>
      <c r="GP217" s="22">
        <v>10697.6</v>
      </c>
      <c r="GQ217" s="22"/>
      <c r="GR217" s="22" t="s">
        <v>633</v>
      </c>
      <c r="GS217" s="22" t="s">
        <v>633</v>
      </c>
      <c r="GT217" s="22"/>
      <c r="GU217" s="40" t="s">
        <v>657</v>
      </c>
      <c r="GV217" s="19"/>
      <c r="GW217" s="19"/>
      <c r="GX217" s="19"/>
      <c r="GY217" s="19"/>
      <c r="GZ217" s="23"/>
      <c r="HA217" s="22">
        <v>10697.6</v>
      </c>
      <c r="HB217" s="22">
        <v>11037.88</v>
      </c>
      <c r="HC217" s="22"/>
      <c r="HD217" s="52" t="s">
        <v>633</v>
      </c>
      <c r="HE217" s="22" t="s">
        <v>633</v>
      </c>
      <c r="HF217" s="22"/>
      <c r="HG217" s="236" t="s">
        <v>657</v>
      </c>
    </row>
    <row r="218" spans="2:215" ht="15.75">
      <c r="B218" s="15"/>
      <c r="C218" s="81" t="s">
        <v>636</v>
      </c>
      <c r="D218" s="82"/>
      <c r="E218" s="73"/>
      <c r="F218" s="74"/>
      <c r="G218" s="74"/>
      <c r="H218" s="74"/>
      <c r="I218" s="75"/>
      <c r="J218" s="73"/>
      <c r="K218" s="73"/>
      <c r="L218" s="75"/>
      <c r="M218" s="82"/>
      <c r="N218" s="75"/>
      <c r="O218" s="74"/>
      <c r="P218" s="74"/>
      <c r="Q218" s="74"/>
      <c r="R218" s="75"/>
      <c r="S218" s="74"/>
      <c r="T218" s="74"/>
      <c r="U218" s="74"/>
      <c r="V218" s="52"/>
      <c r="W218" s="52"/>
      <c r="X218" s="52"/>
      <c r="Y218" s="52"/>
      <c r="Z218" s="22"/>
      <c r="AA218" s="52"/>
      <c r="AB218" s="22"/>
      <c r="AC218" s="52"/>
      <c r="AD218" s="52"/>
      <c r="AE218" s="22"/>
      <c r="AF218" s="52"/>
      <c r="AG218" s="22"/>
      <c r="AH218" s="52"/>
      <c r="AI218" s="52"/>
      <c r="AJ218" s="52"/>
      <c r="AK218" s="52"/>
      <c r="AL218" s="22"/>
      <c r="AM218" s="52"/>
      <c r="AN218" s="22"/>
      <c r="AO218" s="22"/>
      <c r="AP218" s="22"/>
      <c r="AQ218" s="52"/>
      <c r="AR218" s="52"/>
      <c r="AS218" s="22"/>
      <c r="AT218" s="22"/>
      <c r="AU218" s="22"/>
      <c r="AV218" s="77"/>
      <c r="AW218" s="77"/>
      <c r="AX218" s="78"/>
      <c r="AY218" s="22"/>
      <c r="AZ218" s="22"/>
      <c r="BA218" s="22"/>
      <c r="BB218" s="22"/>
      <c r="BC218" s="52"/>
      <c r="BD218" s="52"/>
      <c r="BE218" s="22"/>
      <c r="BF218" s="52"/>
      <c r="BG218" s="52"/>
      <c r="BH218" s="22"/>
      <c r="BI218" s="22"/>
      <c r="BJ218" s="40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48"/>
      <c r="CF218" s="48"/>
      <c r="CG218" s="48"/>
      <c r="CH218" s="48"/>
      <c r="CI218" s="48"/>
      <c r="CJ218" s="48"/>
      <c r="CK218" s="48"/>
      <c r="CL218" s="48"/>
      <c r="CM218" s="48"/>
      <c r="CN218" s="48"/>
      <c r="CO218" s="48"/>
      <c r="CP218" s="48"/>
      <c r="CQ218" s="48"/>
      <c r="CR218" s="48"/>
      <c r="CS218" s="48"/>
      <c r="CT218" s="48"/>
      <c r="CU218" s="48"/>
      <c r="CV218" s="48"/>
      <c r="CW218" s="19"/>
      <c r="CX218" s="19"/>
      <c r="CY218" s="19"/>
      <c r="CZ218" s="19"/>
      <c r="DA218" s="21"/>
      <c r="DB218" s="21"/>
      <c r="DC218" s="79"/>
      <c r="DD218" s="79"/>
      <c r="DE218" s="79"/>
      <c r="DF218" s="79"/>
      <c r="DG218" s="79"/>
      <c r="DH218" s="51"/>
      <c r="DI218" s="39"/>
      <c r="DJ218" s="80"/>
      <c r="DK218" s="39"/>
      <c r="DL218" s="39"/>
      <c r="DM218" s="48"/>
      <c r="DN218" s="39"/>
      <c r="DO218" s="39"/>
      <c r="DP218" s="39"/>
      <c r="DQ218" s="39"/>
      <c r="DR218" s="39"/>
      <c r="DS218" s="39"/>
      <c r="DT218" s="39"/>
      <c r="DU218" s="19"/>
      <c r="DV218" s="40"/>
      <c r="DW218" s="40"/>
      <c r="DX218" s="21"/>
      <c r="DY218" s="21"/>
      <c r="DZ218" s="19"/>
      <c r="EA218" s="19"/>
      <c r="EB218" s="19"/>
      <c r="EC218" s="48"/>
      <c r="ED218" s="48"/>
      <c r="EE218" s="52"/>
      <c r="EF218" s="52"/>
      <c r="EG218" s="22"/>
      <c r="EH218" s="52"/>
      <c r="EI218" s="52"/>
      <c r="EJ218" s="22"/>
      <c r="EK218" s="40"/>
      <c r="EL218" s="19"/>
      <c r="EM218" s="19"/>
      <c r="EN218" s="40"/>
      <c r="EO218" s="40"/>
      <c r="EP218" s="40"/>
      <c r="EQ218" s="21"/>
      <c r="ER218" s="21"/>
      <c r="ES218" s="19"/>
      <c r="ET218" s="19"/>
      <c r="EU218" s="19"/>
      <c r="EV218" s="21"/>
      <c r="EW218" s="39"/>
      <c r="EX218" s="39"/>
      <c r="EY218" s="39"/>
      <c r="EZ218" s="39"/>
      <c r="FA218" s="39"/>
      <c r="FB218" s="39"/>
      <c r="FC218" s="39"/>
      <c r="FD218" s="39"/>
      <c r="FE218" s="39"/>
      <c r="FF218" s="39"/>
      <c r="FG218" s="39"/>
      <c r="FH218" s="39"/>
      <c r="FI218" s="39"/>
      <c r="FJ218" s="19"/>
      <c r="FK218" s="19"/>
      <c r="FL218" s="19"/>
      <c r="FM218" s="19"/>
      <c r="FN218" s="19"/>
      <c r="FO218" s="52"/>
      <c r="FP218" s="52"/>
      <c r="FQ218" s="22"/>
      <c r="FR218" s="52"/>
      <c r="FS218" s="22"/>
      <c r="FT218" s="22"/>
      <c r="FU218" s="40"/>
      <c r="FV218" s="19"/>
      <c r="FW218" s="19"/>
      <c r="FX218" s="19"/>
      <c r="FY218" s="19"/>
      <c r="FZ218" s="19"/>
      <c r="GA218" s="19"/>
      <c r="GB218" s="19"/>
      <c r="GC218" s="20"/>
      <c r="GD218" s="20"/>
      <c r="GE218" s="19"/>
      <c r="GF218" s="21"/>
      <c r="GG218" s="19"/>
      <c r="GH218" s="19"/>
      <c r="GI218" s="19"/>
      <c r="GJ218" s="21"/>
      <c r="GK218" s="19"/>
      <c r="GL218" s="19"/>
      <c r="GM218" s="19"/>
      <c r="GN218" s="19"/>
      <c r="GO218" s="22"/>
      <c r="GP218" s="22"/>
      <c r="GQ218" s="22"/>
      <c r="GR218" s="22"/>
      <c r="GS218" s="22"/>
      <c r="GT218" s="22"/>
      <c r="GU218" s="43"/>
      <c r="GV218" s="19"/>
      <c r="GW218" s="19"/>
      <c r="GX218" s="19"/>
      <c r="GY218" s="19"/>
      <c r="GZ218" s="23"/>
      <c r="HA218" s="22"/>
      <c r="HB218" s="22"/>
      <c r="HC218" s="22"/>
      <c r="HD218" s="52"/>
      <c r="HE218" s="22"/>
      <c r="HF218" s="22"/>
      <c r="HG218" s="233"/>
    </row>
    <row r="219" spans="2:215" ht="16.149999999999999" customHeight="1" thickBot="1">
      <c r="B219" s="15"/>
      <c r="C219" s="161" t="s">
        <v>641</v>
      </c>
      <c r="D219" s="82"/>
      <c r="E219" s="82"/>
      <c r="F219" s="74"/>
      <c r="G219" s="74"/>
      <c r="H219" s="74"/>
      <c r="I219" s="82"/>
      <c r="J219" s="82"/>
      <c r="K219" s="82"/>
      <c r="L219" s="82"/>
      <c r="M219" s="82"/>
      <c r="N219" s="82"/>
      <c r="O219" s="76"/>
      <c r="P219" s="76"/>
      <c r="Q219" s="76"/>
      <c r="R219" s="82"/>
      <c r="S219" s="82"/>
      <c r="T219" s="82"/>
      <c r="U219" s="82"/>
      <c r="V219" s="52"/>
      <c r="W219" s="52"/>
      <c r="X219" s="52"/>
      <c r="Y219" s="52"/>
      <c r="Z219" s="22"/>
      <c r="AA219" s="52"/>
      <c r="AB219" s="22"/>
      <c r="AC219" s="22"/>
      <c r="AD219" s="22"/>
      <c r="AE219" s="22"/>
      <c r="AF219" s="22"/>
      <c r="AG219" s="22"/>
      <c r="AH219" s="22"/>
      <c r="AI219" s="22"/>
      <c r="AJ219" s="52"/>
      <c r="AK219" s="22"/>
      <c r="AL219" s="22"/>
      <c r="AM219" s="22"/>
      <c r="AN219" s="22"/>
      <c r="AO219" s="22"/>
      <c r="AP219" s="22"/>
      <c r="AQ219" s="22"/>
      <c r="AR219" s="22"/>
      <c r="AS219" s="22"/>
      <c r="AT219" s="22"/>
      <c r="AU219" s="22"/>
      <c r="AV219" s="77"/>
      <c r="AW219" s="77"/>
      <c r="AX219" s="78"/>
      <c r="AY219" s="22"/>
      <c r="AZ219" s="22"/>
      <c r="BA219" s="22"/>
      <c r="BB219" s="22"/>
      <c r="BC219" s="22"/>
      <c r="BD219" s="22"/>
      <c r="BE219" s="22"/>
      <c r="BF219" s="22"/>
      <c r="BG219" s="22"/>
      <c r="BH219" s="22"/>
      <c r="BI219" s="22"/>
      <c r="BJ219" s="40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48"/>
      <c r="CF219" s="48"/>
      <c r="CG219" s="48"/>
      <c r="CH219" s="48"/>
      <c r="CI219" s="48"/>
      <c r="CJ219" s="48"/>
      <c r="CK219" s="48"/>
      <c r="CL219" s="48"/>
      <c r="CM219" s="48"/>
      <c r="CN219" s="48"/>
      <c r="CO219" s="48"/>
      <c r="CP219" s="48"/>
      <c r="CQ219" s="48"/>
      <c r="CR219" s="48"/>
      <c r="CS219" s="48"/>
      <c r="CT219" s="48"/>
      <c r="CU219" s="48"/>
      <c r="CV219" s="48"/>
      <c r="CW219" s="19"/>
      <c r="CX219" s="19"/>
      <c r="CY219" s="19"/>
      <c r="CZ219" s="19"/>
      <c r="DA219" s="21"/>
      <c r="DB219" s="21"/>
      <c r="DC219" s="79"/>
      <c r="DD219" s="79"/>
      <c r="DE219" s="79"/>
      <c r="DF219" s="79"/>
      <c r="DG219" s="79"/>
      <c r="DH219" s="51"/>
      <c r="DI219" s="39"/>
      <c r="DJ219" s="80"/>
      <c r="DK219" s="39"/>
      <c r="DL219" s="39"/>
      <c r="DM219" s="48"/>
      <c r="DN219" s="39"/>
      <c r="DO219" s="39"/>
      <c r="DP219" s="39"/>
      <c r="DQ219" s="39"/>
      <c r="DR219" s="39"/>
      <c r="DS219" s="39"/>
      <c r="DT219" s="39"/>
      <c r="DU219" s="19"/>
      <c r="DV219" s="40"/>
      <c r="DW219" s="40"/>
      <c r="DX219" s="21"/>
      <c r="DY219" s="21"/>
      <c r="DZ219" s="19"/>
      <c r="EA219" s="19"/>
      <c r="EB219" s="19"/>
      <c r="EC219" s="48"/>
      <c r="ED219" s="48"/>
      <c r="EE219" s="22"/>
      <c r="EF219" s="22"/>
      <c r="EG219" s="22"/>
      <c r="EH219" s="22"/>
      <c r="EI219" s="22"/>
      <c r="EJ219" s="22"/>
      <c r="EK219" s="83"/>
      <c r="EL219" s="19"/>
      <c r="EM219" s="19"/>
      <c r="EN219" s="146"/>
      <c r="EO219" s="146"/>
      <c r="EP219" s="146"/>
      <c r="EQ219" s="21"/>
      <c r="ER219" s="21"/>
      <c r="ES219" s="19"/>
      <c r="ET219" s="19"/>
      <c r="EU219" s="19"/>
      <c r="EV219" s="21"/>
      <c r="EW219" s="39"/>
      <c r="EX219" s="39"/>
      <c r="EY219" s="39"/>
      <c r="EZ219" s="39"/>
      <c r="FA219" s="39"/>
      <c r="FB219" s="39"/>
      <c r="FC219" s="39"/>
      <c r="FD219" s="39"/>
      <c r="FE219" s="39"/>
      <c r="FF219" s="39"/>
      <c r="FG219" s="39"/>
      <c r="FH219" s="39"/>
      <c r="FI219" s="39"/>
      <c r="FJ219" s="19"/>
      <c r="FK219" s="19"/>
      <c r="FL219" s="19"/>
      <c r="FM219" s="19"/>
      <c r="FN219" s="19"/>
      <c r="FO219" s="22">
        <v>266.52999999999997</v>
      </c>
      <c r="FP219" s="22">
        <v>273.74</v>
      </c>
      <c r="FQ219" s="22"/>
      <c r="FR219" s="22">
        <v>266.52999999999997</v>
      </c>
      <c r="FS219" s="22">
        <v>273.74</v>
      </c>
      <c r="FT219" s="22"/>
      <c r="FU219" s="83" t="s">
        <v>627</v>
      </c>
      <c r="FV219" s="19"/>
      <c r="FW219" s="19"/>
      <c r="FX219" s="19"/>
      <c r="FY219" s="19"/>
      <c r="FZ219" s="19"/>
      <c r="GA219" s="19"/>
      <c r="GB219" s="19"/>
      <c r="GC219" s="20"/>
      <c r="GD219" s="20"/>
      <c r="GE219" s="19"/>
      <c r="GF219" s="21"/>
      <c r="GG219" s="19"/>
      <c r="GH219" s="19"/>
      <c r="GI219" s="19"/>
      <c r="GJ219" s="21"/>
      <c r="GK219" s="19"/>
      <c r="GL219" s="19"/>
      <c r="GM219" s="19"/>
      <c r="GN219" s="19"/>
      <c r="GO219" s="57">
        <v>273.74</v>
      </c>
      <c r="GP219" s="57">
        <v>539.78</v>
      </c>
      <c r="GQ219" s="57"/>
      <c r="GR219" s="57">
        <v>273.74</v>
      </c>
      <c r="GS219" s="57">
        <v>539.78</v>
      </c>
      <c r="GT219" s="57"/>
      <c r="GU219" s="83" t="s">
        <v>627</v>
      </c>
      <c r="GV219" s="19"/>
      <c r="GW219" s="19"/>
      <c r="GX219" s="19"/>
      <c r="GY219" s="19"/>
      <c r="GZ219" s="19"/>
      <c r="HA219" s="22">
        <v>539.78</v>
      </c>
      <c r="HB219" s="22">
        <v>539.12</v>
      </c>
      <c r="HC219" s="22"/>
      <c r="HD219" s="22">
        <v>539.78</v>
      </c>
      <c r="HE219" s="22">
        <v>539.12</v>
      </c>
      <c r="HF219" s="22"/>
      <c r="HG219" s="235" t="s">
        <v>627</v>
      </c>
    </row>
    <row r="220" spans="2:215" ht="16.5" thickBot="1">
      <c r="B220" s="7" t="s">
        <v>362</v>
      </c>
      <c r="C220" s="80" t="s">
        <v>363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>
        <f t="shared" si="927"/>
        <v>0</v>
      </c>
      <c r="Y220" s="80"/>
      <c r="Z220" s="80">
        <f t="shared" si="852"/>
        <v>0</v>
      </c>
      <c r="AA220" s="80"/>
      <c r="AB220" s="80">
        <f t="shared" si="853"/>
        <v>0</v>
      </c>
      <c r="AC220" s="80"/>
      <c r="AD220" s="80"/>
      <c r="AE220" s="80">
        <f t="shared" si="922"/>
        <v>0</v>
      </c>
      <c r="AF220" s="80"/>
      <c r="AG220" s="80">
        <f>+IF(AC220=0,,AF220/AC220*100)</f>
        <v>0</v>
      </c>
      <c r="AH220" s="80"/>
      <c r="AI220" s="80"/>
      <c r="AJ220" s="80">
        <f t="shared" si="854"/>
        <v>0</v>
      </c>
      <c r="AK220" s="80"/>
      <c r="AL220" s="80">
        <f t="shared" si="855"/>
        <v>0</v>
      </c>
      <c r="AM220" s="80"/>
      <c r="AN220" s="80">
        <f t="shared" si="856"/>
        <v>0</v>
      </c>
      <c r="AO220" s="80">
        <f t="shared" si="928"/>
        <v>0</v>
      </c>
      <c r="AP220" s="80">
        <f t="shared" si="857"/>
        <v>0</v>
      </c>
      <c r="AQ220" s="80"/>
      <c r="AR220" s="80"/>
      <c r="AS220" s="80">
        <f t="shared" si="923"/>
        <v>0</v>
      </c>
      <c r="AT220" s="80"/>
      <c r="AU220" s="80">
        <f>+IF(AQ220=0,,AT220/AQ220*100)</f>
        <v>0</v>
      </c>
      <c r="AV220" s="77"/>
      <c r="AW220" s="77">
        <f>+CY220/$CY$220*100</f>
        <v>100</v>
      </c>
      <c r="AX220" s="78"/>
      <c r="AY220" s="80">
        <f t="shared" si="898"/>
        <v>0</v>
      </c>
      <c r="AZ220" s="80"/>
      <c r="BA220" s="80"/>
      <c r="BB220" s="80"/>
      <c r="BC220" s="80"/>
      <c r="BD220" s="80"/>
      <c r="BE220" s="22">
        <f t="shared" si="924"/>
        <v>0</v>
      </c>
      <c r="BF220" s="80"/>
      <c r="BG220" s="80"/>
      <c r="BH220" s="22">
        <f t="shared" si="925"/>
        <v>0</v>
      </c>
      <c r="BI220" s="22"/>
      <c r="BJ220" s="40"/>
      <c r="BK220" s="80">
        <f t="shared" si="812"/>
        <v>0</v>
      </c>
      <c r="BL220" s="80">
        <f t="shared" si="858"/>
        <v>0</v>
      </c>
      <c r="BM220" s="80">
        <f t="shared" si="859"/>
        <v>0</v>
      </c>
      <c r="BN220" s="80">
        <f t="shared" si="860"/>
        <v>0</v>
      </c>
      <c r="BO220" s="80">
        <f t="shared" si="813"/>
        <v>0</v>
      </c>
      <c r="BP220" s="80">
        <f t="shared" si="861"/>
        <v>0</v>
      </c>
      <c r="BQ220" s="80">
        <f t="shared" si="872"/>
        <v>0</v>
      </c>
      <c r="BR220" s="80">
        <f t="shared" si="862"/>
        <v>0</v>
      </c>
      <c r="BS220" s="80">
        <f t="shared" si="815"/>
        <v>0</v>
      </c>
      <c r="BT220" s="80">
        <f t="shared" si="863"/>
        <v>0</v>
      </c>
      <c r="BU220" s="80">
        <f t="shared" si="873"/>
        <v>0</v>
      </c>
      <c r="BV220" s="80">
        <f t="shared" si="864"/>
        <v>0</v>
      </c>
      <c r="BW220" s="80"/>
      <c r="BX220" s="48">
        <f>+SUM(BX221:BX244)</f>
        <v>30589.754274035866</v>
      </c>
      <c r="BY220" s="48">
        <f>+SUM(BY221:BY244)</f>
        <v>54509.548373470105</v>
      </c>
      <c r="BZ220" s="80">
        <f>+AC220*R220/1000</f>
        <v>0</v>
      </c>
      <c r="CA220" s="80"/>
      <c r="CB220" s="48">
        <f>+SUM(CB221:CB244)</f>
        <v>891.0101694915254</v>
      </c>
      <c r="CC220" s="48">
        <f>+SUM(CC221:CC244)</f>
        <v>0</v>
      </c>
      <c r="CD220" s="80">
        <f t="shared" si="906"/>
        <v>0</v>
      </c>
      <c r="CE220" s="80">
        <f t="shared" ref="CE220:CE272" si="952">+IF(R220=0,,BN220/R220*1000)</f>
        <v>0</v>
      </c>
      <c r="CF220" s="80">
        <f t="shared" ref="CF220:CF272" si="953">+IF(I220=0,,BR220/I220*1000)</f>
        <v>0</v>
      </c>
      <c r="CG220" s="80">
        <f t="shared" ref="CG220:CG272" si="954">+IF(I220=0,,BV220/I220*1000)</f>
        <v>0</v>
      </c>
      <c r="CH220" s="80">
        <f t="shared" ref="CH220:CH272" si="955">+IF(E220=0,,BL220/E220*1000*1.18)</f>
        <v>0</v>
      </c>
      <c r="CI220" s="80">
        <f t="shared" ref="CI220:CI272" si="956">+IF(E220=0,,BP220/E220*1.18*1000)</f>
        <v>0</v>
      </c>
      <c r="CJ220" s="80">
        <f t="shared" ref="CJ220:CJ272" si="957">+IF(E220=0,,BT220/E220*1.18*1000)</f>
        <v>0</v>
      </c>
      <c r="CK220" s="80">
        <f t="shared" ref="CK220:CK272" si="958">+IF(D220=0,,BK220/D220*1000)</f>
        <v>0</v>
      </c>
      <c r="CL220" s="80">
        <f t="shared" ref="CL220:CL272" si="959">+IF(D220=0,,BO220/D220*1000)</f>
        <v>0</v>
      </c>
      <c r="CM220" s="80">
        <f t="shared" ref="CM220:CM272" si="960">+IF(D220=0,,BS220/D220*1000)</f>
        <v>0</v>
      </c>
      <c r="CN220" s="80">
        <f t="shared" si="929"/>
        <v>0</v>
      </c>
      <c r="CO220" s="80">
        <f t="shared" ref="CO220:CO272" si="961">+IF(R220=0,,BZ220/R220*1000)</f>
        <v>0</v>
      </c>
      <c r="CP220" s="80">
        <f t="shared" ref="CP220:CP272" si="962">+IF(R220=0,,CD220/R220*1000)</f>
        <v>0</v>
      </c>
      <c r="CQ220" s="80">
        <f t="shared" ref="CQ220:CQ272" si="963">+IF(N220=0,,BX220/N220*1.18*1000)</f>
        <v>0</v>
      </c>
      <c r="CR220" s="80">
        <f t="shared" ref="CR220:CR272" si="964">+IF(N220=0,,CB220/N220*1.18*1000)</f>
        <v>0</v>
      </c>
      <c r="CS220" s="80">
        <f t="shared" ref="CS220:CS272" si="965">+IF(M220=0,,BW220/M220*1000)</f>
        <v>0</v>
      </c>
      <c r="CT220" s="80">
        <f t="shared" ref="CT220:CT272" si="966">+IF(M220=0,,CA220/M220*1000)</f>
        <v>0</v>
      </c>
      <c r="CU220" s="80">
        <f t="shared" si="930"/>
        <v>0</v>
      </c>
      <c r="CV220" s="80">
        <f t="shared" ref="CV220:CV272" si="967">+IF(CN220=0,,CU220/CN220*100)</f>
        <v>0</v>
      </c>
      <c r="CW220" s="48" t="e">
        <f>+SUM(CW221:CW244)</f>
        <v>#REF!</v>
      </c>
      <c r="CX220" s="48" t="e">
        <f>+SUM(CX221:CX244)</f>
        <v>#REF!</v>
      </c>
      <c r="CY220" s="48">
        <f>+SUM(CY221:CY244)</f>
        <v>30959.656781685233</v>
      </c>
      <c r="CZ220" s="48">
        <f>+SUM(CZ221:CZ244)</f>
        <v>82704.127386615073</v>
      </c>
      <c r="DA220" s="20" t="e">
        <f t="shared" ref="DA220:DA257" si="968">+IF(CX220=0,,CW220/CX220*100)</f>
        <v>#REF!</v>
      </c>
      <c r="DB220" s="20">
        <f t="shared" ref="DB220:DB257" si="969">+IF(CZ220=0,,CY220/CZ220*100)</f>
        <v>37.434234251646039</v>
      </c>
      <c r="DC220" s="20" t="e">
        <f t="shared" ref="DC220:DD272" si="970">+IF(CW220=0,,CY220/CW220*100)</f>
        <v>#REF!</v>
      </c>
      <c r="DD220" s="20" t="e">
        <f t="shared" si="970"/>
        <v>#REF!</v>
      </c>
      <c r="DE220" s="79">
        <f t="shared" ref="DE220:DF231" si="971">+(O220+S220)*AC220/1000</f>
        <v>0</v>
      </c>
      <c r="DF220" s="79">
        <f t="shared" si="971"/>
        <v>0</v>
      </c>
      <c r="DG220" s="79">
        <f t="shared" si="874"/>
        <v>0</v>
      </c>
      <c r="DH220" s="51">
        <f t="shared" ref="DH220:DH257" si="972">+DE220+DF220+DG220</f>
        <v>0</v>
      </c>
      <c r="DI220" s="39"/>
      <c r="DJ220" s="80">
        <f t="shared" ref="DJ220:DJ272" si="973">+(F220+J220)*W220/1000</f>
        <v>0</v>
      </c>
      <c r="DK220" s="39">
        <f t="shared" ref="DK220:DK272" si="974">+Y220*(G220+K220)/1000</f>
        <v>0</v>
      </c>
      <c r="DL220" s="39">
        <f t="shared" ref="DL220:DL272" si="975">+(H220+L220)*AA220/1000</f>
        <v>0</v>
      </c>
      <c r="DM220" s="48">
        <f>+AT220-'[2]тарифы (12-13) население 15%'!AP271</f>
        <v>0</v>
      </c>
      <c r="DN220" s="39"/>
      <c r="DO220" s="39"/>
      <c r="DP220" s="39"/>
      <c r="DQ220" s="39"/>
      <c r="DR220" s="39"/>
      <c r="DS220" s="39"/>
      <c r="DT220" s="39"/>
      <c r="DU220" s="19">
        <f t="shared" si="926"/>
        <v>0</v>
      </c>
      <c r="DV220" s="42">
        <f>+SUM(DV221:DV244)</f>
        <v>84633.767092550028</v>
      </c>
      <c r="DW220" s="42">
        <f>+SUM(DW221:DW244)</f>
        <v>168869.06762417854</v>
      </c>
      <c r="DX220" s="42">
        <f>+'[1]тарифы (НВВ) население на 4,2%'!CO282</f>
        <v>53.209816444861303</v>
      </c>
      <c r="DY220" s="42">
        <f t="shared" si="914"/>
        <v>50.117980920522498</v>
      </c>
      <c r="DZ220" s="19">
        <f t="shared" si="915"/>
        <v>0</v>
      </c>
      <c r="EA220" s="19">
        <f t="shared" si="916"/>
        <v>0</v>
      </c>
      <c r="EB220" s="19"/>
      <c r="EC220" s="22">
        <f>+SUM(EC221:EC244)</f>
        <v>65259.184790355939</v>
      </c>
      <c r="ED220" s="22">
        <f>+SUM(ED221:ED244)</f>
        <v>67432.600976610178</v>
      </c>
      <c r="EE220" s="80"/>
      <c r="EF220" s="80"/>
      <c r="EG220" s="22">
        <f t="shared" si="917"/>
        <v>0</v>
      </c>
      <c r="EH220" s="80"/>
      <c r="EI220" s="80"/>
      <c r="EJ220" s="22">
        <f t="shared" si="918"/>
        <v>0</v>
      </c>
      <c r="EK220" s="40"/>
      <c r="EL220" s="40"/>
      <c r="EM220" s="40"/>
      <c r="EN220" s="146">
        <f>+SUM(EN232:EN244)</f>
        <v>88219.397743898313</v>
      </c>
      <c r="EO220" s="146">
        <f>+SUM(EO232:EO244)</f>
        <v>170935.84031639999</v>
      </c>
      <c r="EP220" s="146" t="e">
        <f>+$EN$442/$EN$445*EN220</f>
        <v>#REF!</v>
      </c>
      <c r="EQ220" s="42">
        <f t="shared" si="888"/>
        <v>51.609655166877445</v>
      </c>
      <c r="ER220" s="42" t="e">
        <f>+IF((EN220+EP220)=0,,(EN220+EP220)/(EO220+EP220))*100</f>
        <v>#REF!</v>
      </c>
      <c r="ES220" s="42"/>
      <c r="ET220" s="42"/>
      <c r="EU220" s="19">
        <f t="shared" si="893"/>
        <v>0</v>
      </c>
      <c r="EV220" s="42"/>
      <c r="EW220" s="39"/>
      <c r="EX220" s="39">
        <f t="shared" si="882"/>
        <v>0</v>
      </c>
      <c r="EY220" s="39">
        <f t="shared" si="951"/>
        <v>0</v>
      </c>
      <c r="EZ220" s="39"/>
      <c r="FA220" s="39"/>
      <c r="FB220" s="39"/>
      <c r="FC220" s="39"/>
      <c r="FD220" s="39"/>
      <c r="FE220" s="39"/>
      <c r="FF220" s="39"/>
      <c r="FG220" s="39"/>
      <c r="FH220" s="39"/>
      <c r="FI220" s="39"/>
      <c r="FJ220" s="41">
        <f>+SUM(FJ233:FJ244)</f>
        <v>78768.024957993213</v>
      </c>
      <c r="FK220" s="41">
        <f>+SUM(FK233:FK244)</f>
        <v>82716.442572501692</v>
      </c>
      <c r="FL220" s="41">
        <f t="shared" si="896"/>
        <v>161484.46753049491</v>
      </c>
      <c r="FM220" s="40"/>
      <c r="FN220" s="40"/>
      <c r="FO220" s="80">
        <f t="shared" si="883"/>
        <v>0</v>
      </c>
      <c r="FP220" s="80"/>
      <c r="FQ220" s="22"/>
      <c r="FR220" s="80">
        <f t="shared" si="931"/>
        <v>0</v>
      </c>
      <c r="FS220" s="80"/>
      <c r="FT220" s="22"/>
      <c r="FU220" s="40"/>
      <c r="FV220" s="41">
        <f t="shared" ref="FV220:GB220" si="976">+SUM(FV233:FV244)</f>
        <v>0</v>
      </c>
      <c r="FW220" s="41">
        <f t="shared" si="976"/>
        <v>0</v>
      </c>
      <c r="FX220" s="41">
        <f t="shared" si="976"/>
        <v>0</v>
      </c>
      <c r="FY220" s="41">
        <f t="shared" si="976"/>
        <v>0</v>
      </c>
      <c r="FZ220" s="41">
        <f t="shared" si="976"/>
        <v>0</v>
      </c>
      <c r="GA220" s="41">
        <f t="shared" si="976"/>
        <v>0</v>
      </c>
      <c r="GB220" s="41">
        <f t="shared" si="976"/>
        <v>0</v>
      </c>
      <c r="GC220" s="20">
        <f t="shared" ref="GC220:GC257" si="977">+IF(FZ220=0,,FY220/FZ220*100)</f>
        <v>0</v>
      </c>
      <c r="GD220" s="20">
        <f t="shared" si="945"/>
        <v>0</v>
      </c>
      <c r="GE220" s="42"/>
      <c r="GF220" s="42"/>
      <c r="GG220" s="42"/>
      <c r="GH220" s="42"/>
      <c r="GI220" s="42"/>
      <c r="GJ220" s="42"/>
      <c r="GK220" s="42"/>
      <c r="GL220" s="42"/>
      <c r="GM220" s="40"/>
      <c r="GN220" s="40"/>
      <c r="GO220" s="80"/>
      <c r="GP220" s="80"/>
      <c r="GQ220" s="22"/>
      <c r="GR220" s="80"/>
      <c r="GS220" s="80"/>
      <c r="GT220" s="22"/>
      <c r="GU220" s="43"/>
      <c r="GV220" s="41"/>
      <c r="GW220" s="41"/>
      <c r="GX220" s="41">
        <f>+SUM(GX232:GX244)</f>
        <v>0</v>
      </c>
      <c r="GY220" s="41">
        <f>+SUM(GY232:GY244)</f>
        <v>0</v>
      </c>
      <c r="GZ220" s="44">
        <f t="shared" ref="GZ220" si="978">+IF(GY220=0,,GX220/GY220*100)</f>
        <v>0</v>
      </c>
      <c r="HA220" s="80"/>
      <c r="HB220" s="80"/>
      <c r="HC220" s="22"/>
      <c r="HD220" s="80"/>
      <c r="HE220" s="80"/>
      <c r="HF220" s="22"/>
      <c r="HG220" s="233"/>
    </row>
    <row r="221" spans="2:215" ht="15.6" hidden="1" customHeight="1">
      <c r="B221" s="9" t="s">
        <v>364</v>
      </c>
      <c r="C221" s="81" t="e">
        <f>+#REF!</f>
        <v>#REF!</v>
      </c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52"/>
      <c r="W221" s="52"/>
      <c r="X221" s="52">
        <f t="shared" si="927"/>
        <v>0</v>
      </c>
      <c r="Y221" s="52"/>
      <c r="Z221" s="22">
        <f t="shared" si="852"/>
        <v>0</v>
      </c>
      <c r="AA221" s="52"/>
      <c r="AB221" s="22">
        <f t="shared" si="853"/>
        <v>0</v>
      </c>
      <c r="AC221" s="22"/>
      <c r="AD221" s="22"/>
      <c r="AE221" s="22">
        <f t="shared" si="922"/>
        <v>0</v>
      </c>
      <c r="AF221" s="22"/>
      <c r="AG221" s="22">
        <f t="shared" si="889"/>
        <v>0</v>
      </c>
      <c r="AH221" s="52"/>
      <c r="AI221" s="52"/>
      <c r="AJ221" s="52">
        <f t="shared" si="854"/>
        <v>0</v>
      </c>
      <c r="AK221" s="52"/>
      <c r="AL221" s="22">
        <f t="shared" si="855"/>
        <v>0</v>
      </c>
      <c r="AM221" s="52"/>
      <c r="AN221" s="22">
        <f t="shared" si="856"/>
        <v>0</v>
      </c>
      <c r="AO221" s="22">
        <f t="shared" si="928"/>
        <v>0</v>
      </c>
      <c r="AP221" s="22">
        <f t="shared" si="857"/>
        <v>0</v>
      </c>
      <c r="AQ221" s="22"/>
      <c r="AR221" s="22"/>
      <c r="AS221" s="22">
        <f t="shared" si="923"/>
        <v>0</v>
      </c>
      <c r="AT221" s="22"/>
      <c r="AU221" s="22">
        <f t="shared" si="890"/>
        <v>0</v>
      </c>
      <c r="AV221" s="77"/>
      <c r="AW221" s="77"/>
      <c r="AX221" s="78"/>
      <c r="AY221" s="22">
        <f t="shared" si="898"/>
        <v>0</v>
      </c>
      <c r="AZ221" s="22"/>
      <c r="BA221" s="22"/>
      <c r="BB221" s="22"/>
      <c r="BC221" s="22"/>
      <c r="BD221" s="22"/>
      <c r="BE221" s="22">
        <f t="shared" si="924"/>
        <v>0</v>
      </c>
      <c r="BF221" s="22"/>
      <c r="BG221" s="22"/>
      <c r="BH221" s="22">
        <f t="shared" si="925"/>
        <v>0</v>
      </c>
      <c r="BI221" s="22"/>
      <c r="BJ221" s="40"/>
      <c r="BK221" s="19">
        <f t="shared" ref="BK221:BK272" si="979">+BL221+BM221+BN221</f>
        <v>0</v>
      </c>
      <c r="BL221" s="19">
        <f t="shared" si="858"/>
        <v>0</v>
      </c>
      <c r="BM221" s="19">
        <f t="shared" si="859"/>
        <v>0</v>
      </c>
      <c r="BN221" s="19">
        <f t="shared" si="860"/>
        <v>0</v>
      </c>
      <c r="BO221" s="19">
        <f t="shared" ref="BO221:BO272" si="980">+BP221+BQ221+BR221</f>
        <v>0</v>
      </c>
      <c r="BP221" s="19">
        <f t="shared" si="861"/>
        <v>0</v>
      </c>
      <c r="BQ221" s="19">
        <f t="shared" si="872"/>
        <v>0</v>
      </c>
      <c r="BR221" s="19">
        <f t="shared" si="862"/>
        <v>0</v>
      </c>
      <c r="BS221" s="19">
        <f t="shared" ref="BS221:BS272" si="981">+BT221+BV221+BU221</f>
        <v>0</v>
      </c>
      <c r="BT221" s="19">
        <f t="shared" si="863"/>
        <v>0</v>
      </c>
      <c r="BU221" s="19">
        <f t="shared" si="873"/>
        <v>0</v>
      </c>
      <c r="BV221" s="19">
        <f t="shared" si="864"/>
        <v>0</v>
      </c>
      <c r="BW221" s="19">
        <f t="shared" ref="BW221:BW267" si="982">+BX221+BY221+BZ221</f>
        <v>0</v>
      </c>
      <c r="BX221" s="19">
        <f>+AQ221/1.18*N221/1000</f>
        <v>0</v>
      </c>
      <c r="BY221" s="19">
        <f>+(AC221-ROUND(AQ221/1.18,2))*N221/1000</f>
        <v>0</v>
      </c>
      <c r="BZ221" s="19">
        <f>+AC221*R221/1000</f>
        <v>0</v>
      </c>
      <c r="CA221" s="19">
        <f t="shared" ref="CA221:CA267" si="983">+CB221+CC221+CD221</f>
        <v>0</v>
      </c>
      <c r="CB221" s="19">
        <f t="shared" ref="CB221:CB241" si="984">+AT221/1.18*N221/1000</f>
        <v>0</v>
      </c>
      <c r="CC221" s="19">
        <f t="shared" ref="CC221:CC241" si="985">+(AF221-ROUND(AT221/1.18,2))*N221/1000</f>
        <v>0</v>
      </c>
      <c r="CD221" s="19">
        <f t="shared" si="906"/>
        <v>0</v>
      </c>
      <c r="CE221" s="48">
        <f t="shared" si="952"/>
        <v>0</v>
      </c>
      <c r="CF221" s="48">
        <f t="shared" si="953"/>
        <v>0</v>
      </c>
      <c r="CG221" s="48">
        <f t="shared" si="954"/>
        <v>0</v>
      </c>
      <c r="CH221" s="48">
        <f t="shared" si="955"/>
        <v>0</v>
      </c>
      <c r="CI221" s="48">
        <f t="shared" si="956"/>
        <v>0</v>
      </c>
      <c r="CJ221" s="48">
        <f t="shared" si="957"/>
        <v>0</v>
      </c>
      <c r="CK221" s="48">
        <f t="shared" si="958"/>
        <v>0</v>
      </c>
      <c r="CL221" s="48">
        <f t="shared" si="959"/>
        <v>0</v>
      </c>
      <c r="CM221" s="48">
        <f t="shared" si="960"/>
        <v>0</v>
      </c>
      <c r="CN221" s="48">
        <f t="shared" si="929"/>
        <v>0</v>
      </c>
      <c r="CO221" s="48">
        <f t="shared" si="961"/>
        <v>0</v>
      </c>
      <c r="CP221" s="48">
        <f t="shared" si="962"/>
        <v>0</v>
      </c>
      <c r="CQ221" s="48">
        <f t="shared" si="963"/>
        <v>0</v>
      </c>
      <c r="CR221" s="48">
        <f t="shared" si="964"/>
        <v>0</v>
      </c>
      <c r="CS221" s="48">
        <f t="shared" si="965"/>
        <v>0</v>
      </c>
      <c r="CT221" s="48">
        <f t="shared" si="966"/>
        <v>0</v>
      </c>
      <c r="CU221" s="48">
        <f t="shared" si="930"/>
        <v>0</v>
      </c>
      <c r="CV221" s="48">
        <f t="shared" si="967"/>
        <v>0</v>
      </c>
      <c r="CW221" s="19">
        <f t="shared" ref="CW221:CW241" si="986">+((AI221*F221)/1.18+(G221*AK221)/1.18+(H221*AM221)/1.18)/1000</f>
        <v>0</v>
      </c>
      <c r="CX221" s="19">
        <f t="shared" ref="CX221:CX241" si="987">+((W221*F221)+(Y221*G221)+(AA221*H221))/1000</f>
        <v>0</v>
      </c>
      <c r="CY221" s="19">
        <f>+((AQ221*O221)/1.18+(Q221*AT221)/1.18)/1000</f>
        <v>0</v>
      </c>
      <c r="CZ221" s="19">
        <f>+((AC221*O221)+(AF221*Q221))/1000</f>
        <v>0</v>
      </c>
      <c r="DA221" s="21">
        <f t="shared" si="968"/>
        <v>0</v>
      </c>
      <c r="DB221" s="21">
        <f t="shared" si="969"/>
        <v>0</v>
      </c>
      <c r="DC221" s="79">
        <f t="shared" si="970"/>
        <v>0</v>
      </c>
      <c r="DD221" s="79">
        <f t="shared" si="970"/>
        <v>0</v>
      </c>
      <c r="DE221" s="79">
        <f t="shared" si="971"/>
        <v>0</v>
      </c>
      <c r="DF221" s="79">
        <f t="shared" si="971"/>
        <v>0</v>
      </c>
      <c r="DG221" s="79">
        <f t="shared" si="874"/>
        <v>0</v>
      </c>
      <c r="DH221" s="51">
        <f t="shared" si="972"/>
        <v>0</v>
      </c>
      <c r="DI221" s="39"/>
      <c r="DJ221" s="80">
        <f t="shared" si="973"/>
        <v>0</v>
      </c>
      <c r="DK221" s="39">
        <f t="shared" si="974"/>
        <v>0</v>
      </c>
      <c r="DL221" s="39">
        <f t="shared" si="975"/>
        <v>0</v>
      </c>
      <c r="DM221" s="48">
        <f>+AT221-'[2]тарифы (12-13) население 15%'!AP272</f>
        <v>0</v>
      </c>
      <c r="DN221" s="39"/>
      <c r="DO221" s="39"/>
      <c r="DP221" s="39"/>
      <c r="DQ221" s="39"/>
      <c r="DR221" s="39"/>
      <c r="DS221" s="39"/>
      <c r="DT221" s="39"/>
      <c r="DU221" s="19">
        <f t="shared" si="926"/>
        <v>0</v>
      </c>
      <c r="DV221" s="40">
        <f t="shared" si="912"/>
        <v>0</v>
      </c>
      <c r="DW221" s="40">
        <f t="shared" si="913"/>
        <v>0</v>
      </c>
      <c r="DX221" s="46"/>
      <c r="DY221" s="21">
        <f t="shared" si="914"/>
        <v>0</v>
      </c>
      <c r="DZ221" s="19">
        <f t="shared" si="915"/>
        <v>0</v>
      </c>
      <c r="EA221" s="19">
        <f t="shared" si="916"/>
        <v>0</v>
      </c>
      <c r="EB221" s="19"/>
      <c r="EC221" s="48">
        <f t="shared" ref="EC221:EC240" si="988">+(BC221-BF221/1.18)*AZ221/2</f>
        <v>0</v>
      </c>
      <c r="ED221" s="48">
        <f t="shared" ref="ED221:ED240" si="989">+(BD221-BG221/1.18)*AZ221/2</f>
        <v>0</v>
      </c>
      <c r="EE221" s="22"/>
      <c r="EF221" s="22"/>
      <c r="EG221" s="22">
        <f t="shared" si="917"/>
        <v>0</v>
      </c>
      <c r="EH221" s="22"/>
      <c r="EI221" s="22"/>
      <c r="EJ221" s="22">
        <f t="shared" si="918"/>
        <v>0</v>
      </c>
      <c r="EK221" s="40"/>
      <c r="EL221" s="19"/>
      <c r="EM221" s="19"/>
      <c r="EN221" s="40">
        <f t="shared" si="891"/>
        <v>0</v>
      </c>
      <c r="EO221" s="40">
        <f t="shared" si="892"/>
        <v>0</v>
      </c>
      <c r="EP221" s="40"/>
      <c r="EQ221" s="21">
        <f t="shared" si="888"/>
        <v>0</v>
      </c>
      <c r="ER221" s="21"/>
      <c r="ES221" s="21"/>
      <c r="ET221" s="21"/>
      <c r="EU221" s="19">
        <f t="shared" si="893"/>
        <v>0</v>
      </c>
      <c r="EV221" s="21"/>
      <c r="EW221" s="39"/>
      <c r="EX221" s="39">
        <f t="shared" si="882"/>
        <v>0</v>
      </c>
      <c r="EY221" s="39">
        <f t="shared" si="951"/>
        <v>0</v>
      </c>
      <c r="EZ221" s="39"/>
      <c r="FA221" s="39"/>
      <c r="FB221" s="39"/>
      <c r="FC221" s="39"/>
      <c r="FD221" s="39"/>
      <c r="FE221" s="39"/>
      <c r="FF221" s="39"/>
      <c r="FG221" s="39"/>
      <c r="FH221" s="39"/>
      <c r="FI221" s="39"/>
      <c r="FJ221" s="19">
        <f t="shared" si="894"/>
        <v>0</v>
      </c>
      <c r="FK221" s="19">
        <f t="shared" si="895"/>
        <v>0</v>
      </c>
      <c r="FL221" s="19">
        <f t="shared" si="896"/>
        <v>0</v>
      </c>
      <c r="FM221" s="19"/>
      <c r="FN221" s="19"/>
      <c r="FO221" s="22">
        <f t="shared" si="883"/>
        <v>0</v>
      </c>
      <c r="FP221" s="22"/>
      <c r="FQ221" s="22"/>
      <c r="FR221" s="22">
        <f t="shared" si="931"/>
        <v>0</v>
      </c>
      <c r="FS221" s="22"/>
      <c r="FT221" s="22"/>
      <c r="FU221" s="40"/>
      <c r="FV221" s="19">
        <f t="shared" ref="FV221:FV231" si="990">+(EF221-EI221/1.18)*EM221</f>
        <v>0</v>
      </c>
      <c r="FW221" s="19">
        <f t="shared" ref="FW221:FW231" si="991">+(EF221-EI221/1.18*1.096)*EM221</f>
        <v>0</v>
      </c>
      <c r="FX221" s="19">
        <f t="shared" si="940"/>
        <v>0</v>
      </c>
      <c r="FY221" s="19">
        <f t="shared" si="941"/>
        <v>0</v>
      </c>
      <c r="FZ221" s="19">
        <f t="shared" si="942"/>
        <v>0</v>
      </c>
      <c r="GA221" s="19">
        <f t="shared" si="943"/>
        <v>0</v>
      </c>
      <c r="GB221" s="19">
        <f t="shared" si="944"/>
        <v>0</v>
      </c>
      <c r="GC221" s="20">
        <f t="shared" si="977"/>
        <v>0</v>
      </c>
      <c r="GD221" s="20">
        <f t="shared" si="945"/>
        <v>0</v>
      </c>
      <c r="GE221" s="21"/>
      <c r="GF221" s="21"/>
      <c r="GG221" s="21"/>
      <c r="GH221" s="21"/>
      <c r="GI221" s="21"/>
      <c r="GJ221" s="21"/>
      <c r="GK221" s="21"/>
      <c r="GL221" s="21"/>
      <c r="GM221" s="19"/>
      <c r="GN221" s="19"/>
      <c r="GO221" s="22"/>
      <c r="GP221" s="22"/>
      <c r="GQ221" s="22"/>
      <c r="GR221" s="22"/>
      <c r="GS221" s="22"/>
      <c r="GT221" s="22"/>
      <c r="GU221" s="43"/>
      <c r="GV221" s="19"/>
      <c r="GW221" s="19"/>
      <c r="GX221" s="19"/>
      <c r="GY221" s="19"/>
      <c r="GZ221" s="19"/>
      <c r="HA221" s="22"/>
      <c r="HB221" s="22"/>
      <c r="HC221" s="22"/>
      <c r="HD221" s="22"/>
      <c r="HE221" s="22"/>
      <c r="HF221" s="22"/>
      <c r="HG221" s="233"/>
    </row>
    <row r="222" spans="2:215" ht="15.6" hidden="1" customHeight="1">
      <c r="B222" s="10"/>
      <c r="C222" s="161" t="s">
        <v>129</v>
      </c>
      <c r="D222" s="73">
        <f t="shared" ref="D222:D231" si="992">+E222+I222</f>
        <v>21762.04</v>
      </c>
      <c r="E222" s="143">
        <f>+[10]Пестово!$AI$45*1000</f>
        <v>10022.550000000001</v>
      </c>
      <c r="F222" s="74">
        <f>+E222*$F$3</f>
        <v>5538.4611300000006</v>
      </c>
      <c r="G222" s="74">
        <f>+E222*$G$3</f>
        <v>1494.3622050000004</v>
      </c>
      <c r="H222" s="74">
        <f>+E222*$H$3</f>
        <v>2989.7266650000006</v>
      </c>
      <c r="I222" s="143">
        <f>+([10]Пестово!$AI$46+[10]Пестово!$AI$50+[10]Пестово!$AI$51)*1000</f>
        <v>11739.49</v>
      </c>
      <c r="J222" s="74">
        <f>+I222*$J$3</f>
        <v>6487.242174</v>
      </c>
      <c r="K222" s="74">
        <f>+I222*$K$3</f>
        <v>1750.3579590000002</v>
      </c>
      <c r="L222" s="74">
        <f>+I222*$L$3</f>
        <v>3501.8898669999999</v>
      </c>
      <c r="M222" s="191">
        <f>+N222+R222</f>
        <v>30311.509970045125</v>
      </c>
      <c r="N222" s="191">
        <f t="shared" ref="N222:N231" si="993">+O222+P222+Q222</f>
        <v>18132.696154266436</v>
      </c>
      <c r="O222" s="74">
        <v>4913.7142942664341</v>
      </c>
      <c r="P222" s="74">
        <v>0</v>
      </c>
      <c r="Q222" s="74">
        <v>13218.98186</v>
      </c>
      <c r="R222" s="191">
        <f t="shared" ref="R222:R231" si="994">+S222+T222+U222</f>
        <v>12178.813815778689</v>
      </c>
      <c r="S222" s="74">
        <v>6534.7908157786869</v>
      </c>
      <c r="T222" s="74">
        <v>0</v>
      </c>
      <c r="U222" s="74">
        <v>5644.023000000001</v>
      </c>
      <c r="V222" s="22">
        <v>3614.75</v>
      </c>
      <c r="W222" s="22">
        <v>3614.75</v>
      </c>
      <c r="X222" s="52">
        <f t="shared" si="927"/>
        <v>100</v>
      </c>
      <c r="Y222" s="22">
        <v>3828.02</v>
      </c>
      <c r="Z222" s="22">
        <f t="shared" si="852"/>
        <v>105.89999308389237</v>
      </c>
      <c r="AA222" s="22">
        <v>4011.76</v>
      </c>
      <c r="AB222" s="22">
        <f t="shared" si="853"/>
        <v>104.79987042909913</v>
      </c>
      <c r="AC222" s="22">
        <v>4011.76</v>
      </c>
      <c r="AD222" s="22"/>
      <c r="AE222" s="22"/>
      <c r="AF222" s="22"/>
      <c r="AG222" s="22">
        <f t="shared" si="889"/>
        <v>0</v>
      </c>
      <c r="AH222" s="22">
        <v>1127</v>
      </c>
      <c r="AI222" s="22">
        <v>1127</v>
      </c>
      <c r="AJ222" s="52">
        <f t="shared" si="854"/>
        <v>100</v>
      </c>
      <c r="AK222" s="22">
        <v>1193.5</v>
      </c>
      <c r="AL222" s="22">
        <f t="shared" si="855"/>
        <v>105.90062111801242</v>
      </c>
      <c r="AM222" s="22">
        <v>1250.79</v>
      </c>
      <c r="AN222" s="22">
        <f t="shared" si="856"/>
        <v>104.80016757436113</v>
      </c>
      <c r="AO222" s="22">
        <f t="shared" si="928"/>
        <v>110.98305553634415</v>
      </c>
      <c r="AP222" s="22">
        <f t="shared" si="857"/>
        <v>110.98402839396628</v>
      </c>
      <c r="AQ222" s="22">
        <v>1250.79</v>
      </c>
      <c r="AR222" s="22"/>
      <c r="AS222" s="22"/>
      <c r="AT222" s="22"/>
      <c r="AU222" s="22">
        <f t="shared" si="890"/>
        <v>0</v>
      </c>
      <c r="AV222" s="77"/>
      <c r="AW222" s="77">
        <f t="shared" ref="AW222:AW228" si="995">+CY222/$CY$220*100</f>
        <v>16.823492414673801</v>
      </c>
      <c r="AX222" s="239" t="s">
        <v>130</v>
      </c>
      <c r="AY222" s="22">
        <f t="shared" si="898"/>
        <v>0</v>
      </c>
      <c r="AZ222" s="22"/>
      <c r="BA222" s="22"/>
      <c r="BB222" s="22"/>
      <c r="BC222" s="22"/>
      <c r="BD222" s="22"/>
      <c r="BE222" s="22">
        <f t="shared" si="924"/>
        <v>0</v>
      </c>
      <c r="BF222" s="22"/>
      <c r="BG222" s="22"/>
      <c r="BH222" s="22">
        <f t="shared" si="925"/>
        <v>0</v>
      </c>
      <c r="BI222" s="22"/>
      <c r="BJ222" s="40"/>
      <c r="BK222" s="19">
        <f t="shared" si="979"/>
        <v>78664.381654644065</v>
      </c>
      <c r="BL222" s="19">
        <f t="shared" si="858"/>
        <v>9572.3846186440696</v>
      </c>
      <c r="BM222" s="19">
        <f t="shared" si="859"/>
        <v>26656.675558500003</v>
      </c>
      <c r="BN222" s="19">
        <f t="shared" si="860"/>
        <v>42435.321477500001</v>
      </c>
      <c r="BO222" s="19">
        <f t="shared" si="980"/>
        <v>83305.531155749166</v>
      </c>
      <c r="BP222" s="19">
        <f t="shared" si="861"/>
        <v>10137.214766949155</v>
      </c>
      <c r="BQ222" s="19">
        <f t="shared" si="872"/>
        <v>28229.313879000001</v>
      </c>
      <c r="BR222" s="19">
        <f t="shared" si="862"/>
        <v>44939.002509800004</v>
      </c>
      <c r="BS222" s="19">
        <f t="shared" si="981"/>
        <v>87304.096879035613</v>
      </c>
      <c r="BT222" s="19">
        <f t="shared" si="863"/>
        <v>10623.818063135595</v>
      </c>
      <c r="BU222" s="19">
        <f t="shared" si="873"/>
        <v>29584.262413500008</v>
      </c>
      <c r="BV222" s="19">
        <f t="shared" si="864"/>
        <v>47096.016402400004</v>
      </c>
      <c r="BW222" s="19">
        <f t="shared" si="982"/>
        <v>60801.265448736609</v>
      </c>
      <c r="BX222" s="19">
        <f t="shared" ref="BX222:BX241" si="996">+((AQ222/1.18*N222/1000)+(AR222/1.18*N222/1000))/2</f>
        <v>9610.2521283029309</v>
      </c>
      <c r="BY222" s="19">
        <f t="shared" ref="BY222:BY241" si="997">+((AC222-ROUND(AQ222/1.18,2))*N222/1000+(AD222-ROUND(AR222/1.18,2))*N222/1000)/2</f>
        <v>26761.77426363952</v>
      </c>
      <c r="BZ222" s="19">
        <f t="shared" ref="BZ222:BZ241" si="998">+((AC222*R222/1000)+(R222*AD222/1000))/2</f>
        <v>24429.239056794158</v>
      </c>
      <c r="CA222" s="19">
        <f t="shared" si="983"/>
        <v>0</v>
      </c>
      <c r="CB222" s="19">
        <f t="shared" si="984"/>
        <v>0</v>
      </c>
      <c r="CC222" s="19">
        <f t="shared" si="985"/>
        <v>0</v>
      </c>
      <c r="CD222" s="19">
        <f t="shared" si="906"/>
        <v>0</v>
      </c>
      <c r="CE222" s="48">
        <f t="shared" si="952"/>
        <v>3484.3558756536236</v>
      </c>
      <c r="CF222" s="48">
        <f t="shared" si="953"/>
        <v>3828.0200000000004</v>
      </c>
      <c r="CG222" s="48">
        <f t="shared" si="954"/>
        <v>4011.7600000000007</v>
      </c>
      <c r="CH222" s="48">
        <f t="shared" si="955"/>
        <v>1127</v>
      </c>
      <c r="CI222" s="48">
        <f t="shared" si="956"/>
        <v>1193.5</v>
      </c>
      <c r="CJ222" s="48">
        <f t="shared" si="957"/>
        <v>1250.79</v>
      </c>
      <c r="CK222" s="48">
        <f t="shared" si="958"/>
        <v>3614.7521856702801</v>
      </c>
      <c r="CL222" s="48">
        <f t="shared" si="959"/>
        <v>3828.020312238612</v>
      </c>
      <c r="CM222" s="48">
        <f t="shared" si="960"/>
        <v>4011.7607025368766</v>
      </c>
      <c r="CN222" s="48">
        <f t="shared" si="929"/>
        <v>3818.1777334819226</v>
      </c>
      <c r="CO222" s="48">
        <f t="shared" si="961"/>
        <v>2005.8800000000003</v>
      </c>
      <c r="CP222" s="48">
        <f t="shared" si="962"/>
        <v>0</v>
      </c>
      <c r="CQ222" s="48">
        <f t="shared" si="963"/>
        <v>625.39499999999998</v>
      </c>
      <c r="CR222" s="48">
        <f t="shared" si="964"/>
        <v>0</v>
      </c>
      <c r="CS222" s="48">
        <f t="shared" si="965"/>
        <v>2005.8804562630667</v>
      </c>
      <c r="CT222" s="48">
        <f t="shared" si="966"/>
        <v>0</v>
      </c>
      <c r="CU222" s="48">
        <f t="shared" si="930"/>
        <v>1002.9402281315333</v>
      </c>
      <c r="CV222" s="48">
        <f t="shared" si="967"/>
        <v>26.267510266393991</v>
      </c>
      <c r="CW222" s="19">
        <f t="shared" si="986"/>
        <v>9970.2433902481789</v>
      </c>
      <c r="CX222" s="19">
        <f t="shared" si="987"/>
        <v>37734.666623232006</v>
      </c>
      <c r="CY222" s="19">
        <f t="shared" ref="CY222:CY241" si="999">+((AQ222*O222)/1.18+(Q222*AT222)/1.18+(AR222*P222)/1.18)/1000</f>
        <v>5208.4955102758586</v>
      </c>
      <c r="CZ222" s="19">
        <f t="shared" ref="CZ222:CZ241" si="1000">+((AC222*O222)+(AF222*Q222)+(AD222*P222))/1000</f>
        <v>19712.642457166312</v>
      </c>
      <c r="DA222" s="21">
        <f t="shared" si="968"/>
        <v>26.421972903054147</v>
      </c>
      <c r="DB222" s="21">
        <f t="shared" si="969"/>
        <v>26.422107140599856</v>
      </c>
      <c r="DC222" s="79">
        <f t="shared" si="970"/>
        <v>52.240404836759048</v>
      </c>
      <c r="DD222" s="79">
        <f t="shared" si="970"/>
        <v>52.240139429322205</v>
      </c>
      <c r="DE222" s="79">
        <f t="shared" si="971"/>
        <v>45928.654860274612</v>
      </c>
      <c r="DF222" s="79">
        <f t="shared" si="971"/>
        <v>0</v>
      </c>
      <c r="DG222" s="79">
        <f t="shared" si="874"/>
        <v>0</v>
      </c>
      <c r="DH222" s="51">
        <f t="shared" si="972"/>
        <v>45928.654860274612</v>
      </c>
      <c r="DI222" s="39"/>
      <c r="DJ222" s="80">
        <f t="shared" si="973"/>
        <v>43469.911018134007</v>
      </c>
      <c r="DK222" s="39">
        <f t="shared" si="974"/>
        <v>12420.853682195282</v>
      </c>
      <c r="DL222" s="39">
        <f t="shared" si="975"/>
        <v>26042.807538416324</v>
      </c>
      <c r="DM222" s="48"/>
      <c r="DN222" s="39"/>
      <c r="DO222" s="39"/>
      <c r="DP222" s="39"/>
      <c r="DQ222" s="39"/>
      <c r="DR222" s="39"/>
      <c r="DS222" s="39"/>
      <c r="DT222" s="39"/>
      <c r="DU222" s="19">
        <f t="shared" si="926"/>
        <v>0</v>
      </c>
      <c r="DV222" s="40">
        <f t="shared" si="912"/>
        <v>0</v>
      </c>
      <c r="DW222" s="40">
        <f t="shared" si="913"/>
        <v>0</v>
      </c>
      <c r="DX222" s="46"/>
      <c r="DY222" s="21">
        <f t="shared" si="914"/>
        <v>0</v>
      </c>
      <c r="DZ222" s="19">
        <f t="shared" si="915"/>
        <v>0</v>
      </c>
      <c r="EA222" s="19">
        <f t="shared" si="916"/>
        <v>0</v>
      </c>
      <c r="EB222" s="19"/>
      <c r="EC222" s="48">
        <f t="shared" si="988"/>
        <v>0</v>
      </c>
      <c r="ED222" s="48">
        <f t="shared" si="989"/>
        <v>0</v>
      </c>
      <c r="EE222" s="22"/>
      <c r="EF222" s="22"/>
      <c r="EG222" s="22">
        <f t="shared" si="917"/>
        <v>0</v>
      </c>
      <c r="EH222" s="22"/>
      <c r="EI222" s="22"/>
      <c r="EJ222" s="22">
        <f t="shared" si="918"/>
        <v>0</v>
      </c>
      <c r="EK222" s="40"/>
      <c r="EL222" s="19"/>
      <c r="EM222" s="19"/>
      <c r="EN222" s="40">
        <f t="shared" si="891"/>
        <v>0</v>
      </c>
      <c r="EO222" s="40">
        <f t="shared" si="892"/>
        <v>0</v>
      </c>
      <c r="EP222" s="40"/>
      <c r="EQ222" s="21">
        <f t="shared" si="888"/>
        <v>0</v>
      </c>
      <c r="ER222" s="21"/>
      <c r="ES222" s="21"/>
      <c r="ET222" s="21"/>
      <c r="EU222" s="19">
        <f t="shared" si="893"/>
        <v>0</v>
      </c>
      <c r="EV222" s="21"/>
      <c r="EW222" s="39"/>
      <c r="EX222" s="39">
        <f t="shared" si="882"/>
        <v>0</v>
      </c>
      <c r="EY222" s="39">
        <f t="shared" si="951"/>
        <v>0</v>
      </c>
      <c r="EZ222" s="39"/>
      <c r="FA222" s="39"/>
      <c r="FB222" s="39"/>
      <c r="FC222" s="39"/>
      <c r="FD222" s="39"/>
      <c r="FE222" s="39"/>
      <c r="FF222" s="39"/>
      <c r="FG222" s="39"/>
      <c r="FH222" s="39"/>
      <c r="FI222" s="39"/>
      <c r="FJ222" s="19">
        <f t="shared" si="894"/>
        <v>0</v>
      </c>
      <c r="FK222" s="19">
        <f t="shared" si="895"/>
        <v>0</v>
      </c>
      <c r="FL222" s="19">
        <f t="shared" si="896"/>
        <v>0</v>
      </c>
      <c r="FM222" s="19"/>
      <c r="FN222" s="19"/>
      <c r="FO222" s="22">
        <f t="shared" si="883"/>
        <v>0</v>
      </c>
      <c r="FP222" s="22"/>
      <c r="FQ222" s="22"/>
      <c r="FR222" s="22">
        <f t="shared" si="931"/>
        <v>0</v>
      </c>
      <c r="FS222" s="22"/>
      <c r="FT222" s="22"/>
      <c r="FU222" s="40"/>
      <c r="FV222" s="19">
        <f t="shared" si="990"/>
        <v>0</v>
      </c>
      <c r="FW222" s="19">
        <f t="shared" si="991"/>
        <v>0</v>
      </c>
      <c r="FX222" s="19">
        <f t="shared" si="940"/>
        <v>0</v>
      </c>
      <c r="FY222" s="19">
        <f t="shared" si="941"/>
        <v>0</v>
      </c>
      <c r="FZ222" s="19">
        <f t="shared" si="942"/>
        <v>0</v>
      </c>
      <c r="GA222" s="19">
        <f t="shared" si="943"/>
        <v>0</v>
      </c>
      <c r="GB222" s="19">
        <f t="shared" si="944"/>
        <v>0</v>
      </c>
      <c r="GC222" s="20">
        <f t="shared" si="977"/>
        <v>0</v>
      </c>
      <c r="GD222" s="20">
        <f t="shared" si="945"/>
        <v>0</v>
      </c>
      <c r="GE222" s="21"/>
      <c r="GF222" s="21"/>
      <c r="GG222" s="21"/>
      <c r="GH222" s="21"/>
      <c r="GI222" s="21"/>
      <c r="GJ222" s="21"/>
      <c r="GK222" s="21"/>
      <c r="GL222" s="21"/>
      <c r="GM222" s="19"/>
      <c r="GN222" s="19"/>
      <c r="GO222" s="22"/>
      <c r="GP222" s="22"/>
      <c r="GQ222" s="22"/>
      <c r="GR222" s="22"/>
      <c r="GS222" s="22"/>
      <c r="GT222" s="22"/>
      <c r="GU222" s="43"/>
      <c r="GV222" s="19"/>
      <c r="GW222" s="19"/>
      <c r="GX222" s="19"/>
      <c r="GY222" s="19"/>
      <c r="GZ222" s="19"/>
      <c r="HA222" s="22"/>
      <c r="HB222" s="22"/>
      <c r="HC222" s="22"/>
      <c r="HD222" s="22"/>
      <c r="HE222" s="22"/>
      <c r="HF222" s="22"/>
      <c r="HG222" s="233"/>
    </row>
    <row r="223" spans="2:215" ht="15.6" hidden="1" customHeight="1">
      <c r="B223" s="10"/>
      <c r="C223" s="161" t="s">
        <v>365</v>
      </c>
      <c r="D223" s="73">
        <f t="shared" si="992"/>
        <v>23266.16</v>
      </c>
      <c r="E223" s="143">
        <f>+[10]Пестово!$AT$45*1000</f>
        <v>19199.57</v>
      </c>
      <c r="F223" s="74">
        <f>+E223*$F$3</f>
        <v>10609.682381999999</v>
      </c>
      <c r="G223" s="74">
        <f>+E223*$G$3</f>
        <v>2862.6558870000003</v>
      </c>
      <c r="H223" s="74">
        <f>+E223*$H$3</f>
        <v>5727.2317309999999</v>
      </c>
      <c r="I223" s="143">
        <f>+([10]Пестово!$AT$46+[10]Пестово!$AT$50+[10]Пестово!$AT$51)*1000</f>
        <v>4066.5899999999997</v>
      </c>
      <c r="J223" s="74">
        <f>+I223*$J$3</f>
        <v>2247.1976339999997</v>
      </c>
      <c r="K223" s="74">
        <f>+I223*$K$3</f>
        <v>606.32856900000002</v>
      </c>
      <c r="L223" s="74">
        <f>+I223*$L$3</f>
        <v>1213.063797</v>
      </c>
      <c r="M223" s="191">
        <f t="shared" ref="M223:M231" si="1001">+N223+R223</f>
        <v>9072.1025162823353</v>
      </c>
      <c r="N223" s="191">
        <f t="shared" si="993"/>
        <v>7439.0847920031565</v>
      </c>
      <c r="O223" s="74">
        <v>7439.0847920031565</v>
      </c>
      <c r="P223" s="74">
        <v>0</v>
      </c>
      <c r="Q223" s="74">
        <v>0</v>
      </c>
      <c r="R223" s="191">
        <f t="shared" si="994"/>
        <v>1633.0177242791785</v>
      </c>
      <c r="S223" s="74">
        <v>1633.0177242791785</v>
      </c>
      <c r="T223" s="74">
        <v>0</v>
      </c>
      <c r="U223" s="74">
        <v>0</v>
      </c>
      <c r="V223" s="22">
        <v>3316.78</v>
      </c>
      <c r="W223" s="22">
        <v>3316.78</v>
      </c>
      <c r="X223" s="52">
        <f t="shared" si="927"/>
        <v>100</v>
      </c>
      <c r="Y223" s="22">
        <v>3512.47</v>
      </c>
      <c r="Z223" s="22">
        <f t="shared" si="852"/>
        <v>105.89999939700552</v>
      </c>
      <c r="AA223" s="22">
        <v>3681.07</v>
      </c>
      <c r="AB223" s="22">
        <f t="shared" si="853"/>
        <v>104.80004099679144</v>
      </c>
      <c r="AC223" s="22">
        <v>3681.07</v>
      </c>
      <c r="AD223" s="22"/>
      <c r="AE223" s="22"/>
      <c r="AF223" s="22"/>
      <c r="AG223" s="22">
        <f t="shared" si="889"/>
        <v>0</v>
      </c>
      <c r="AH223" s="22">
        <v>1127</v>
      </c>
      <c r="AI223" s="22">
        <v>1127</v>
      </c>
      <c r="AJ223" s="52">
        <f t="shared" si="854"/>
        <v>100</v>
      </c>
      <c r="AK223" s="22">
        <v>1193.5</v>
      </c>
      <c r="AL223" s="22">
        <f t="shared" si="855"/>
        <v>105.90062111801242</v>
      </c>
      <c r="AM223" s="22">
        <v>1250.79</v>
      </c>
      <c r="AN223" s="22">
        <f t="shared" si="856"/>
        <v>104.80016757436113</v>
      </c>
      <c r="AO223" s="22">
        <f t="shared" si="928"/>
        <v>110.98324278366367</v>
      </c>
      <c r="AP223" s="22">
        <f t="shared" si="857"/>
        <v>110.98402839396628</v>
      </c>
      <c r="AQ223" s="22">
        <v>1250.79</v>
      </c>
      <c r="AR223" s="22"/>
      <c r="AS223" s="22"/>
      <c r="AT223" s="22"/>
      <c r="AU223" s="22">
        <f t="shared" si="890"/>
        <v>0</v>
      </c>
      <c r="AV223" s="77"/>
      <c r="AW223" s="77">
        <f t="shared" si="995"/>
        <v>25.469813480285818</v>
      </c>
      <c r="AX223" s="239"/>
      <c r="AY223" s="22">
        <f t="shared" si="898"/>
        <v>0</v>
      </c>
      <c r="AZ223" s="22"/>
      <c r="BA223" s="22"/>
      <c r="BB223" s="22"/>
      <c r="BC223" s="22"/>
      <c r="BD223" s="22"/>
      <c r="BE223" s="22">
        <f t="shared" si="924"/>
        <v>0</v>
      </c>
      <c r="BF223" s="22"/>
      <c r="BG223" s="22"/>
      <c r="BH223" s="22">
        <f t="shared" si="925"/>
        <v>0</v>
      </c>
      <c r="BI223" s="22"/>
      <c r="BJ223" s="40"/>
      <c r="BK223" s="19">
        <f t="shared" si="979"/>
        <v>77168.825281403391</v>
      </c>
      <c r="BL223" s="19">
        <f t="shared" si="858"/>
        <v>18337.21643220339</v>
      </c>
      <c r="BM223" s="19">
        <f t="shared" si="859"/>
        <v>45343.624469000002</v>
      </c>
      <c r="BN223" s="19">
        <f t="shared" si="860"/>
        <v>13487.9843802</v>
      </c>
      <c r="BO223" s="19">
        <f t="shared" si="980"/>
        <v>81721.702031857625</v>
      </c>
      <c r="BP223" s="19">
        <f t="shared" si="861"/>
        <v>19419.226097457627</v>
      </c>
      <c r="BQ223" s="19">
        <f t="shared" si="872"/>
        <v>48018.700557099997</v>
      </c>
      <c r="BR223" s="19">
        <f t="shared" si="862"/>
        <v>14283.775377299999</v>
      </c>
      <c r="BS223" s="19">
        <f t="shared" si="981"/>
        <v>85644.39287867966</v>
      </c>
      <c r="BT223" s="19">
        <f t="shared" si="863"/>
        <v>20351.381491779663</v>
      </c>
      <c r="BU223" s="19">
        <f t="shared" si="873"/>
        <v>50323.608935600001</v>
      </c>
      <c r="BV223" s="19">
        <f t="shared" si="864"/>
        <v>14969.402451299999</v>
      </c>
      <c r="BW223" s="19">
        <f t="shared" si="982"/>
        <v>16697.527878683937</v>
      </c>
      <c r="BX223" s="19">
        <f t="shared" si="996"/>
        <v>3942.6834182159446</v>
      </c>
      <c r="BY223" s="19">
        <f t="shared" si="997"/>
        <v>9749.2181833118157</v>
      </c>
      <c r="BZ223" s="19">
        <f t="shared" si="998"/>
        <v>3005.6262771561778</v>
      </c>
      <c r="CA223" s="19">
        <f t="shared" si="983"/>
        <v>0</v>
      </c>
      <c r="CB223" s="19">
        <f t="shared" si="984"/>
        <v>0</v>
      </c>
      <c r="CC223" s="19">
        <f t="shared" si="985"/>
        <v>0</v>
      </c>
      <c r="CD223" s="19">
        <f t="shared" si="906"/>
        <v>0</v>
      </c>
      <c r="CE223" s="48">
        <f t="shared" si="952"/>
        <v>8259.5456128032274</v>
      </c>
      <c r="CF223" s="48">
        <f t="shared" si="953"/>
        <v>3512.47</v>
      </c>
      <c r="CG223" s="48">
        <f t="shared" si="954"/>
        <v>3681.07</v>
      </c>
      <c r="CH223" s="48">
        <f t="shared" si="955"/>
        <v>1126.9999999999998</v>
      </c>
      <c r="CI223" s="48">
        <f t="shared" si="956"/>
        <v>1193.5</v>
      </c>
      <c r="CJ223" s="48">
        <f t="shared" si="957"/>
        <v>1250.79</v>
      </c>
      <c r="CK223" s="48">
        <f t="shared" si="958"/>
        <v>3316.783916271675</v>
      </c>
      <c r="CL223" s="48">
        <f t="shared" si="959"/>
        <v>3512.4705594673824</v>
      </c>
      <c r="CM223" s="48">
        <f t="shared" si="960"/>
        <v>3681.0712588016095</v>
      </c>
      <c r="CN223" s="48">
        <f t="shared" si="929"/>
        <v>3503.4419115135556</v>
      </c>
      <c r="CO223" s="48">
        <f t="shared" si="961"/>
        <v>1840.5350000000001</v>
      </c>
      <c r="CP223" s="48">
        <f t="shared" si="962"/>
        <v>0</v>
      </c>
      <c r="CQ223" s="48">
        <f t="shared" si="963"/>
        <v>625.39499999999998</v>
      </c>
      <c r="CR223" s="48">
        <f t="shared" si="964"/>
        <v>0</v>
      </c>
      <c r="CS223" s="48">
        <f t="shared" si="965"/>
        <v>1840.5356254204271</v>
      </c>
      <c r="CT223" s="48">
        <f t="shared" si="966"/>
        <v>0</v>
      </c>
      <c r="CU223" s="48">
        <f t="shared" si="930"/>
        <v>920.26781271021355</v>
      </c>
      <c r="CV223" s="48">
        <f t="shared" si="967"/>
        <v>26.267534497600387</v>
      </c>
      <c r="CW223" s="19">
        <f t="shared" si="986"/>
        <v>19099.369510564396</v>
      </c>
      <c r="CX223" s="19">
        <f t="shared" si="987"/>
        <v>66327.31616241303</v>
      </c>
      <c r="CY223" s="19">
        <f t="shared" si="999"/>
        <v>7885.3668364318883</v>
      </c>
      <c r="CZ223" s="19">
        <f t="shared" si="1000"/>
        <v>27383.79185529906</v>
      </c>
      <c r="DA223" s="21">
        <f t="shared" si="968"/>
        <v>28.795631446622295</v>
      </c>
      <c r="DB223" s="21">
        <f t="shared" si="969"/>
        <v>28.795744862872176</v>
      </c>
      <c r="DC223" s="79">
        <f t="shared" si="970"/>
        <v>41.286005970355575</v>
      </c>
      <c r="DD223" s="79">
        <f t="shared" si="970"/>
        <v>41.28584335938676</v>
      </c>
      <c r="DE223" s="79">
        <f t="shared" si="971"/>
        <v>33395.044409611422</v>
      </c>
      <c r="DF223" s="79">
        <f t="shared" si="971"/>
        <v>0</v>
      </c>
      <c r="DG223" s="79">
        <f t="shared" si="874"/>
        <v>0</v>
      </c>
      <c r="DH223" s="51">
        <f t="shared" si="972"/>
        <v>33395.044409611422</v>
      </c>
      <c r="DI223" s="39"/>
      <c r="DJ223" s="80">
        <f t="shared" si="973"/>
        <v>42643.442499468481</v>
      </c>
      <c r="DK223" s="39">
        <f t="shared" si="974"/>
        <v>12184.70383216632</v>
      </c>
      <c r="DL223" s="39">
        <f t="shared" si="975"/>
        <v>25547.713659254961</v>
      </c>
      <c r="DM223" s="48"/>
      <c r="DN223" s="39"/>
      <c r="DO223" s="39"/>
      <c r="DP223" s="39"/>
      <c r="DQ223" s="39"/>
      <c r="DR223" s="39"/>
      <c r="DS223" s="39"/>
      <c r="DT223" s="39"/>
      <c r="DU223" s="19">
        <f t="shared" si="926"/>
        <v>0</v>
      </c>
      <c r="DV223" s="40">
        <f t="shared" si="912"/>
        <v>0</v>
      </c>
      <c r="DW223" s="40">
        <f t="shared" si="913"/>
        <v>0</v>
      </c>
      <c r="DX223" s="46"/>
      <c r="DY223" s="21">
        <f t="shared" si="914"/>
        <v>0</v>
      </c>
      <c r="DZ223" s="19">
        <f t="shared" si="915"/>
        <v>0</v>
      </c>
      <c r="EA223" s="19">
        <f t="shared" si="916"/>
        <v>0</v>
      </c>
      <c r="EB223" s="19"/>
      <c r="EC223" s="48">
        <f t="shared" si="988"/>
        <v>0</v>
      </c>
      <c r="ED223" s="48">
        <f t="shared" si="989"/>
        <v>0</v>
      </c>
      <c r="EE223" s="22"/>
      <c r="EF223" s="22"/>
      <c r="EG223" s="22">
        <f t="shared" si="917"/>
        <v>0</v>
      </c>
      <c r="EH223" s="22"/>
      <c r="EI223" s="22"/>
      <c r="EJ223" s="22">
        <f t="shared" si="918"/>
        <v>0</v>
      </c>
      <c r="EK223" s="40"/>
      <c r="EL223" s="19"/>
      <c r="EM223" s="19"/>
      <c r="EN223" s="40">
        <f t="shared" si="891"/>
        <v>0</v>
      </c>
      <c r="EO223" s="40">
        <f t="shared" si="892"/>
        <v>0</v>
      </c>
      <c r="EP223" s="40"/>
      <c r="EQ223" s="21">
        <f t="shared" si="888"/>
        <v>0</v>
      </c>
      <c r="ER223" s="21"/>
      <c r="ES223" s="21"/>
      <c r="ET223" s="21"/>
      <c r="EU223" s="19">
        <f t="shared" si="893"/>
        <v>0</v>
      </c>
      <c r="EV223" s="21"/>
      <c r="EW223" s="39"/>
      <c r="EX223" s="39">
        <f t="shared" si="882"/>
        <v>0</v>
      </c>
      <c r="EY223" s="39">
        <f t="shared" si="951"/>
        <v>0</v>
      </c>
      <c r="EZ223" s="39"/>
      <c r="FA223" s="39"/>
      <c r="FB223" s="39"/>
      <c r="FC223" s="39"/>
      <c r="FD223" s="39"/>
      <c r="FE223" s="39"/>
      <c r="FF223" s="39"/>
      <c r="FG223" s="39"/>
      <c r="FH223" s="39"/>
      <c r="FI223" s="39"/>
      <c r="FJ223" s="19">
        <f t="shared" si="894"/>
        <v>0</v>
      </c>
      <c r="FK223" s="19">
        <f t="shared" si="895"/>
        <v>0</v>
      </c>
      <c r="FL223" s="19">
        <f t="shared" si="896"/>
        <v>0</v>
      </c>
      <c r="FM223" s="19"/>
      <c r="FN223" s="19"/>
      <c r="FO223" s="22">
        <f t="shared" ref="FO223:FO257" si="1002">+EF223</f>
        <v>0</v>
      </c>
      <c r="FP223" s="22"/>
      <c r="FQ223" s="22"/>
      <c r="FR223" s="22">
        <f t="shared" si="931"/>
        <v>0</v>
      </c>
      <c r="FS223" s="22"/>
      <c r="FT223" s="22"/>
      <c r="FU223" s="40"/>
      <c r="FV223" s="19">
        <f t="shared" si="990"/>
        <v>0</v>
      </c>
      <c r="FW223" s="19">
        <f t="shared" si="991"/>
        <v>0</v>
      </c>
      <c r="FX223" s="19">
        <f t="shared" si="940"/>
        <v>0</v>
      </c>
      <c r="FY223" s="19">
        <f t="shared" si="941"/>
        <v>0</v>
      </c>
      <c r="FZ223" s="19">
        <f t="shared" si="942"/>
        <v>0</v>
      </c>
      <c r="GA223" s="19">
        <f t="shared" si="943"/>
        <v>0</v>
      </c>
      <c r="GB223" s="19">
        <f t="shared" si="944"/>
        <v>0</v>
      </c>
      <c r="GC223" s="20">
        <f t="shared" si="977"/>
        <v>0</v>
      </c>
      <c r="GD223" s="20">
        <f t="shared" si="945"/>
        <v>0</v>
      </c>
      <c r="GE223" s="21"/>
      <c r="GF223" s="21"/>
      <c r="GG223" s="21"/>
      <c r="GH223" s="21"/>
      <c r="GI223" s="21"/>
      <c r="GJ223" s="21"/>
      <c r="GK223" s="21"/>
      <c r="GL223" s="21"/>
      <c r="GM223" s="19"/>
      <c r="GN223" s="19"/>
      <c r="GO223" s="22"/>
      <c r="GP223" s="22"/>
      <c r="GQ223" s="22"/>
      <c r="GR223" s="22"/>
      <c r="GS223" s="22"/>
      <c r="GT223" s="22"/>
      <c r="GU223" s="43"/>
      <c r="GV223" s="19"/>
      <c r="GW223" s="19"/>
      <c r="GX223" s="19"/>
      <c r="GY223" s="19"/>
      <c r="GZ223" s="19"/>
      <c r="HA223" s="22"/>
      <c r="HB223" s="22"/>
      <c r="HC223" s="22"/>
      <c r="HD223" s="22"/>
      <c r="HE223" s="22"/>
      <c r="HF223" s="22"/>
      <c r="HG223" s="233"/>
    </row>
    <row r="224" spans="2:215" ht="15.6" hidden="1" customHeight="1">
      <c r="B224" s="10"/>
      <c r="C224" s="161" t="s">
        <v>292</v>
      </c>
      <c r="D224" s="73">
        <f t="shared" si="992"/>
        <v>16489.89</v>
      </c>
      <c r="E224" s="143">
        <f>+[10]Пестово!$CA$45*1000</f>
        <v>12091.84</v>
      </c>
      <c r="F224" s="74">
        <f>+E224*$F$3</f>
        <v>6681.9507839999997</v>
      </c>
      <c r="G224" s="74">
        <f>+E224*$G$3</f>
        <v>1802.8933440000001</v>
      </c>
      <c r="H224" s="74">
        <f>+E224*$H$3</f>
        <v>3606.995872</v>
      </c>
      <c r="I224" s="143">
        <f>+([10]Пестово!$CA$46+[10]Пестово!$CA$50+[10]Пестово!$CA$51)*1000</f>
        <v>4398.0499999999993</v>
      </c>
      <c r="J224" s="74">
        <f>+I224*$J$3</f>
        <v>2430.3624299999997</v>
      </c>
      <c r="K224" s="74">
        <f>+I224*$K$3</f>
        <v>655.74925499999995</v>
      </c>
      <c r="L224" s="74">
        <f>+I224*$L$3</f>
        <v>1311.9383149999999</v>
      </c>
      <c r="M224" s="191">
        <f t="shared" si="1001"/>
        <v>7414.5480568903586</v>
      </c>
      <c r="N224" s="191">
        <f t="shared" si="993"/>
        <v>5095.6354037102692</v>
      </c>
      <c r="O224" s="74">
        <v>5095.6354037102692</v>
      </c>
      <c r="P224" s="74">
        <v>0</v>
      </c>
      <c r="Q224" s="74">
        <v>0</v>
      </c>
      <c r="R224" s="191">
        <f t="shared" si="994"/>
        <v>2318.9126531800889</v>
      </c>
      <c r="S224" s="74">
        <v>2318.9126531800889</v>
      </c>
      <c r="T224" s="74">
        <v>0</v>
      </c>
      <c r="U224" s="74">
        <v>0</v>
      </c>
      <c r="V224" s="22">
        <v>2013.31</v>
      </c>
      <c r="W224" s="22">
        <v>2013.31</v>
      </c>
      <c r="X224" s="52">
        <f t="shared" si="927"/>
        <v>100</v>
      </c>
      <c r="Y224" s="22">
        <v>2132.1</v>
      </c>
      <c r="Z224" s="22">
        <f t="shared" si="852"/>
        <v>105.90023394310862</v>
      </c>
      <c r="AA224" s="22">
        <v>2234.44</v>
      </c>
      <c r="AB224" s="22">
        <f t="shared" si="853"/>
        <v>104.79996247830779</v>
      </c>
      <c r="AC224" s="22">
        <v>2234.44</v>
      </c>
      <c r="AD224" s="22"/>
      <c r="AE224" s="22"/>
      <c r="AF224" s="22"/>
      <c r="AG224" s="22">
        <f t="shared" si="889"/>
        <v>0</v>
      </c>
      <c r="AH224" s="22">
        <v>1127</v>
      </c>
      <c r="AI224" s="22">
        <v>1127</v>
      </c>
      <c r="AJ224" s="52">
        <f t="shared" si="854"/>
        <v>100</v>
      </c>
      <c r="AK224" s="22">
        <v>1193.5</v>
      </c>
      <c r="AL224" s="22">
        <f t="shared" si="855"/>
        <v>105.90062111801242</v>
      </c>
      <c r="AM224" s="22">
        <v>1250.79</v>
      </c>
      <c r="AN224" s="22">
        <f t="shared" si="856"/>
        <v>104.80016757436113</v>
      </c>
      <c r="AO224" s="22">
        <f t="shared" si="928"/>
        <v>110.98340543681797</v>
      </c>
      <c r="AP224" s="22">
        <f t="shared" si="857"/>
        <v>110.98402839396628</v>
      </c>
      <c r="AQ224" s="22">
        <v>1250.79</v>
      </c>
      <c r="AR224" s="22"/>
      <c r="AS224" s="22"/>
      <c r="AT224" s="22"/>
      <c r="AU224" s="22">
        <f t="shared" si="890"/>
        <v>0</v>
      </c>
      <c r="AV224" s="77"/>
      <c r="AW224" s="77">
        <f t="shared" si="995"/>
        <v>17.446350851593635</v>
      </c>
      <c r="AX224" s="239"/>
      <c r="AY224" s="22">
        <f t="shared" si="898"/>
        <v>0</v>
      </c>
      <c r="AZ224" s="22"/>
      <c r="BA224" s="22"/>
      <c r="BB224" s="22"/>
      <c r="BC224" s="22"/>
      <c r="BD224" s="22"/>
      <c r="BE224" s="22">
        <f t="shared" si="924"/>
        <v>0</v>
      </c>
      <c r="BF224" s="22"/>
      <c r="BG224" s="22"/>
      <c r="BH224" s="22">
        <f t="shared" si="925"/>
        <v>0</v>
      </c>
      <c r="BI224" s="22"/>
      <c r="BJ224" s="40"/>
      <c r="BK224" s="19">
        <f t="shared" si="979"/>
        <v>33199.317820903394</v>
      </c>
      <c r="BL224" s="19">
        <f t="shared" ref="BL224:BL272" si="1003">+E224*AI224/1.18/1000</f>
        <v>11548.731932203389</v>
      </c>
      <c r="BM224" s="19">
        <f t="shared" ref="BM224:BM272" si="1004">+(W224-ROUND(AI224/1.18,2))*E224/1000</f>
        <v>12795.9478432</v>
      </c>
      <c r="BN224" s="19">
        <f t="shared" ref="BN224:BN272" si="1005">+W224*I224/1000</f>
        <v>8854.6380454999999</v>
      </c>
      <c r="BO224" s="19">
        <f t="shared" si="980"/>
        <v>35158.102666857623</v>
      </c>
      <c r="BP224" s="19">
        <f t="shared" ref="BP224:BP272" si="1006">+AK224/1.18*E224/1000</f>
        <v>12230.178847457626</v>
      </c>
      <c r="BQ224" s="19">
        <f t="shared" si="872"/>
        <v>13550.841414399998</v>
      </c>
      <c r="BR224" s="19">
        <f t="shared" ref="BR224:BR272" si="1007">+Y224*I224/1000</f>
        <v>9377.0824049999974</v>
      </c>
      <c r="BS224" s="19">
        <f t="shared" si="981"/>
        <v>36845.688256779657</v>
      </c>
      <c r="BT224" s="19">
        <f t="shared" ref="BT224:BT272" si="1008">+AM224/1.18*E224/1000</f>
        <v>12817.247926779663</v>
      </c>
      <c r="BU224" s="19">
        <f t="shared" si="873"/>
        <v>14201.261488</v>
      </c>
      <c r="BV224" s="19">
        <f t="shared" ref="BV224:BV272" si="1009">+AA224*I224/1000</f>
        <v>9827.1788419999975</v>
      </c>
      <c r="BW224" s="19">
        <f t="shared" si="982"/>
        <v>8283.685266620625</v>
      </c>
      <c r="BX224" s="19">
        <f t="shared" si="996"/>
        <v>2700.6651722910037</v>
      </c>
      <c r="BY224" s="19">
        <f t="shared" si="997"/>
        <v>2992.284499943763</v>
      </c>
      <c r="BZ224" s="19">
        <f t="shared" si="998"/>
        <v>2590.7355943858593</v>
      </c>
      <c r="CA224" s="19">
        <f t="shared" si="983"/>
        <v>0</v>
      </c>
      <c r="CB224" s="19">
        <f t="shared" si="984"/>
        <v>0</v>
      </c>
      <c r="CC224" s="19">
        <f t="shared" si="985"/>
        <v>0</v>
      </c>
      <c r="CD224" s="19">
        <f t="shared" si="906"/>
        <v>0</v>
      </c>
      <c r="CE224" s="48">
        <f t="shared" si="952"/>
        <v>3818.4439734532511</v>
      </c>
      <c r="CF224" s="48">
        <f t="shared" si="953"/>
        <v>2132.1</v>
      </c>
      <c r="CG224" s="48">
        <f t="shared" si="954"/>
        <v>2234.4399999999996</v>
      </c>
      <c r="CH224" s="48">
        <f t="shared" si="955"/>
        <v>1126.9999999999998</v>
      </c>
      <c r="CI224" s="48">
        <f t="shared" si="956"/>
        <v>1193.4999999999998</v>
      </c>
      <c r="CJ224" s="48">
        <f t="shared" si="957"/>
        <v>1250.79</v>
      </c>
      <c r="CK224" s="48">
        <f t="shared" si="958"/>
        <v>2013.3134800112912</v>
      </c>
      <c r="CL224" s="48">
        <f t="shared" si="959"/>
        <v>2132.10049714447</v>
      </c>
      <c r="CM224" s="48">
        <f t="shared" si="960"/>
        <v>2234.4411185750578</v>
      </c>
      <c r="CN224" s="48">
        <f t="shared" si="929"/>
        <v>2126.6183652436066</v>
      </c>
      <c r="CO224" s="48">
        <f t="shared" si="961"/>
        <v>1117.22</v>
      </c>
      <c r="CP224" s="48">
        <f t="shared" si="962"/>
        <v>0</v>
      </c>
      <c r="CQ224" s="48">
        <f t="shared" si="963"/>
        <v>625.3950000000001</v>
      </c>
      <c r="CR224" s="48">
        <f t="shared" si="964"/>
        <v>0</v>
      </c>
      <c r="CS224" s="48">
        <f t="shared" si="965"/>
        <v>1117.2205241724173</v>
      </c>
      <c r="CT224" s="48">
        <f t="shared" si="966"/>
        <v>0</v>
      </c>
      <c r="CU224" s="48">
        <f t="shared" si="930"/>
        <v>558.61026208620865</v>
      </c>
      <c r="CV224" s="48">
        <f t="shared" si="967"/>
        <v>26.267536818822645</v>
      </c>
      <c r="CW224" s="19">
        <f t="shared" si="986"/>
        <v>12028.733988449898</v>
      </c>
      <c r="CX224" s="19">
        <f t="shared" si="987"/>
        <v>25356.403087909119</v>
      </c>
      <c r="CY224" s="19">
        <f t="shared" si="999"/>
        <v>5401.3303445820075</v>
      </c>
      <c r="CZ224" s="19">
        <f t="shared" si="1000"/>
        <v>11385.891571466373</v>
      </c>
      <c r="DA224" s="21">
        <f t="shared" si="968"/>
        <v>47.438644774446139</v>
      </c>
      <c r="DB224" s="21">
        <f t="shared" si="969"/>
        <v>47.438800121002537</v>
      </c>
      <c r="DC224" s="79">
        <f t="shared" si="970"/>
        <v>44.903564662485799</v>
      </c>
      <c r="DD224" s="79">
        <f t="shared" si="970"/>
        <v>44.903417617996425</v>
      </c>
      <c r="DE224" s="79">
        <f t="shared" si="971"/>
        <v>16567.362760238091</v>
      </c>
      <c r="DF224" s="79">
        <f t="shared" si="971"/>
        <v>0</v>
      </c>
      <c r="DG224" s="79">
        <f t="shared" si="874"/>
        <v>0</v>
      </c>
      <c r="DH224" s="51">
        <f t="shared" si="972"/>
        <v>16567.362760238091</v>
      </c>
      <c r="DI224" s="39"/>
      <c r="DJ224" s="80">
        <f t="shared" si="973"/>
        <v>18345.911316878337</v>
      </c>
      <c r="DK224" s="39">
        <f t="shared" si="974"/>
        <v>5242.0718853278986</v>
      </c>
      <c r="DL224" s="39">
        <f t="shared" si="975"/>
        <v>10991.06330480028</v>
      </c>
      <c r="DM224" s="48"/>
      <c r="DN224" s="39"/>
      <c r="DO224" s="39"/>
      <c r="DP224" s="39"/>
      <c r="DQ224" s="39"/>
      <c r="DR224" s="39"/>
      <c r="DS224" s="39"/>
      <c r="DT224" s="39"/>
      <c r="DU224" s="19">
        <f t="shared" si="926"/>
        <v>0</v>
      </c>
      <c r="DV224" s="40">
        <f t="shared" si="912"/>
        <v>0</v>
      </c>
      <c r="DW224" s="40">
        <f t="shared" si="913"/>
        <v>0</v>
      </c>
      <c r="DX224" s="46"/>
      <c r="DY224" s="21">
        <f t="shared" si="914"/>
        <v>0</v>
      </c>
      <c r="DZ224" s="19">
        <f t="shared" si="915"/>
        <v>0</v>
      </c>
      <c r="EA224" s="19">
        <f t="shared" si="916"/>
        <v>0</v>
      </c>
      <c r="EB224" s="19"/>
      <c r="EC224" s="48">
        <f t="shared" si="988"/>
        <v>0</v>
      </c>
      <c r="ED224" s="48">
        <f t="shared" si="989"/>
        <v>0</v>
      </c>
      <c r="EE224" s="22"/>
      <c r="EF224" s="22"/>
      <c r="EG224" s="22">
        <f t="shared" si="917"/>
        <v>0</v>
      </c>
      <c r="EH224" s="22"/>
      <c r="EI224" s="22"/>
      <c r="EJ224" s="22">
        <f t="shared" si="918"/>
        <v>0</v>
      </c>
      <c r="EK224" s="40"/>
      <c r="EL224" s="19"/>
      <c r="EM224" s="19"/>
      <c r="EN224" s="40">
        <f t="shared" si="891"/>
        <v>0</v>
      </c>
      <c r="EO224" s="40">
        <f t="shared" si="892"/>
        <v>0</v>
      </c>
      <c r="EP224" s="40"/>
      <c r="EQ224" s="21">
        <f t="shared" si="888"/>
        <v>0</v>
      </c>
      <c r="ER224" s="21"/>
      <c r="ES224" s="21"/>
      <c r="ET224" s="21"/>
      <c r="EU224" s="19">
        <f t="shared" si="893"/>
        <v>0</v>
      </c>
      <c r="EV224" s="21"/>
      <c r="EW224" s="39"/>
      <c r="EX224" s="39">
        <f t="shared" si="882"/>
        <v>0</v>
      </c>
      <c r="EY224" s="39">
        <f t="shared" si="951"/>
        <v>0</v>
      </c>
      <c r="EZ224" s="39"/>
      <c r="FA224" s="39"/>
      <c r="FB224" s="39"/>
      <c r="FC224" s="39"/>
      <c r="FD224" s="39"/>
      <c r="FE224" s="39"/>
      <c r="FF224" s="39"/>
      <c r="FG224" s="39"/>
      <c r="FH224" s="39"/>
      <c r="FI224" s="39"/>
      <c r="FJ224" s="19">
        <f t="shared" si="894"/>
        <v>0</v>
      </c>
      <c r="FK224" s="19">
        <f t="shared" si="895"/>
        <v>0</v>
      </c>
      <c r="FL224" s="19">
        <f t="shared" si="896"/>
        <v>0</v>
      </c>
      <c r="FM224" s="19"/>
      <c r="FN224" s="19"/>
      <c r="FO224" s="22">
        <f t="shared" si="1002"/>
        <v>0</v>
      </c>
      <c r="FP224" s="22"/>
      <c r="FQ224" s="22"/>
      <c r="FR224" s="22">
        <f t="shared" si="931"/>
        <v>0</v>
      </c>
      <c r="FS224" s="22"/>
      <c r="FT224" s="22"/>
      <c r="FU224" s="40"/>
      <c r="FV224" s="19">
        <f t="shared" si="990"/>
        <v>0</v>
      </c>
      <c r="FW224" s="19">
        <f t="shared" si="991"/>
        <v>0</v>
      </c>
      <c r="FX224" s="19">
        <f t="shared" si="940"/>
        <v>0</v>
      </c>
      <c r="FY224" s="19">
        <f t="shared" si="941"/>
        <v>0</v>
      </c>
      <c r="FZ224" s="19">
        <f t="shared" si="942"/>
        <v>0</v>
      </c>
      <c r="GA224" s="19">
        <f t="shared" si="943"/>
        <v>0</v>
      </c>
      <c r="GB224" s="19">
        <f t="shared" si="944"/>
        <v>0</v>
      </c>
      <c r="GC224" s="20">
        <f t="shared" si="977"/>
        <v>0</v>
      </c>
      <c r="GD224" s="20">
        <f t="shared" si="945"/>
        <v>0</v>
      </c>
      <c r="GE224" s="21"/>
      <c r="GF224" s="21"/>
      <c r="GG224" s="21"/>
      <c r="GH224" s="21"/>
      <c r="GI224" s="21"/>
      <c r="GJ224" s="21"/>
      <c r="GK224" s="21"/>
      <c r="GL224" s="21"/>
      <c r="GM224" s="19"/>
      <c r="GN224" s="19"/>
      <c r="GO224" s="22"/>
      <c r="GP224" s="22"/>
      <c r="GQ224" s="22"/>
      <c r="GR224" s="22"/>
      <c r="GS224" s="22"/>
      <c r="GT224" s="22"/>
      <c r="GU224" s="43"/>
      <c r="GV224" s="19"/>
      <c r="GW224" s="19"/>
      <c r="GX224" s="19"/>
      <c r="GY224" s="19"/>
      <c r="GZ224" s="19"/>
      <c r="HA224" s="22"/>
      <c r="HB224" s="22"/>
      <c r="HC224" s="22"/>
      <c r="HD224" s="22"/>
      <c r="HE224" s="22"/>
      <c r="HF224" s="22"/>
      <c r="HG224" s="233"/>
    </row>
    <row r="225" spans="2:215" ht="15.6" hidden="1" customHeight="1">
      <c r="B225" s="10"/>
      <c r="C225" s="184" t="s">
        <v>131</v>
      </c>
      <c r="D225" s="73">
        <f t="shared" si="992"/>
        <v>632530.76</v>
      </c>
      <c r="E225" s="73">
        <f>+'[2]2012(объемы годовые)'!M235</f>
        <v>333081.59999999998</v>
      </c>
      <c r="F225" s="74" t="e">
        <f>+E225*#REF!</f>
        <v>#REF!</v>
      </c>
      <c r="G225" s="74" t="e">
        <f>+E225*#REF!</f>
        <v>#REF!</v>
      </c>
      <c r="H225" s="74" t="e">
        <f>+E225*#REF!</f>
        <v>#REF!</v>
      </c>
      <c r="I225" s="73">
        <f>+'[2]2012(объемы годовые)'!Q235+'[2]2012(объемы годовые)'!U235+'[2]2012(объемы годовые)'!Y235</f>
        <v>299449.16000000003</v>
      </c>
      <c r="J225" s="74" t="e">
        <f>+I225*#REF!</f>
        <v>#REF!</v>
      </c>
      <c r="K225" s="74" t="e">
        <f>+I225*#REF!</f>
        <v>#REF!</v>
      </c>
      <c r="L225" s="74" t="e">
        <f>+I225*#REF!</f>
        <v>#REF!</v>
      </c>
      <c r="M225" s="143">
        <f t="shared" si="1001"/>
        <v>414122.505</v>
      </c>
      <c r="N225" s="191">
        <f t="shared" si="993"/>
        <v>310582.53333333333</v>
      </c>
      <c r="O225" s="74">
        <v>131891.49166666667</v>
      </c>
      <c r="P225" s="74">
        <v>25527.291666666668</v>
      </c>
      <c r="Q225" s="74">
        <v>153163.75</v>
      </c>
      <c r="R225" s="191">
        <f t="shared" si="994"/>
        <v>103539.97166666666</v>
      </c>
      <c r="S225" s="74">
        <v>43307.316666666651</v>
      </c>
      <c r="T225" s="74">
        <v>8604.6650000000009</v>
      </c>
      <c r="U225" s="74">
        <v>51627.990000000013</v>
      </c>
      <c r="V225" s="22">
        <v>42.04</v>
      </c>
      <c r="W225" s="22">
        <v>42.04</v>
      </c>
      <c r="X225" s="52">
        <f t="shared" si="927"/>
        <v>100</v>
      </c>
      <c r="Y225" s="22">
        <v>44.52</v>
      </c>
      <c r="Z225" s="22">
        <f t="shared" si="852"/>
        <v>105.89914367269269</v>
      </c>
      <c r="AA225" s="22">
        <v>46.97</v>
      </c>
      <c r="AB225" s="22">
        <f t="shared" si="853"/>
        <v>105.50314465408803</v>
      </c>
      <c r="AC225" s="22">
        <v>46.97</v>
      </c>
      <c r="AD225" s="22"/>
      <c r="AE225" s="22"/>
      <c r="AF225" s="22"/>
      <c r="AG225" s="22">
        <f t="shared" si="889"/>
        <v>0</v>
      </c>
      <c r="AH225" s="22">
        <v>36.83</v>
      </c>
      <c r="AI225" s="22">
        <v>36.83</v>
      </c>
      <c r="AJ225" s="52">
        <f t="shared" si="854"/>
        <v>100</v>
      </c>
      <c r="AK225" s="22">
        <v>39</v>
      </c>
      <c r="AL225" s="22">
        <f t="shared" si="855"/>
        <v>105.89193592180288</v>
      </c>
      <c r="AM225" s="22">
        <v>41.15</v>
      </c>
      <c r="AN225" s="22">
        <f t="shared" si="856"/>
        <v>105.51282051282051</v>
      </c>
      <c r="AO225" s="22">
        <f t="shared" si="928"/>
        <v>111.72692673644148</v>
      </c>
      <c r="AP225" s="22">
        <f t="shared" si="857"/>
        <v>111.72956828672278</v>
      </c>
      <c r="AQ225" s="22">
        <v>41.15</v>
      </c>
      <c r="AR225" s="22"/>
      <c r="AS225" s="22"/>
      <c r="AT225" s="22"/>
      <c r="AU225" s="22">
        <f t="shared" si="890"/>
        <v>0</v>
      </c>
      <c r="AV225" s="77"/>
      <c r="AW225" s="77">
        <f t="shared" si="995"/>
        <v>14.856225226209455</v>
      </c>
      <c r="AX225" s="239" t="s">
        <v>132</v>
      </c>
      <c r="AY225" s="22">
        <f t="shared" si="898"/>
        <v>0</v>
      </c>
      <c r="AZ225" s="22"/>
      <c r="BA225" s="22"/>
      <c r="BB225" s="22"/>
      <c r="BC225" s="22"/>
      <c r="BD225" s="22"/>
      <c r="BE225" s="22">
        <f t="shared" si="924"/>
        <v>0</v>
      </c>
      <c r="BF225" s="22"/>
      <c r="BG225" s="22"/>
      <c r="BH225" s="22">
        <f t="shared" si="925"/>
        <v>0</v>
      </c>
      <c r="BI225" s="22"/>
      <c r="BJ225" s="40"/>
      <c r="BK225" s="19">
        <f t="shared" si="979"/>
        <v>26592.214149993219</v>
      </c>
      <c r="BL225" s="19">
        <f t="shared" si="1003"/>
        <v>10396.097735593219</v>
      </c>
      <c r="BM225" s="19">
        <f t="shared" si="1004"/>
        <v>3607.2737279999992</v>
      </c>
      <c r="BN225" s="19">
        <f t="shared" si="1005"/>
        <v>12588.842686400001</v>
      </c>
      <c r="BO225" s="19">
        <f t="shared" si="980"/>
        <v>28160.551707742379</v>
      </c>
      <c r="BP225" s="19">
        <f t="shared" si="1006"/>
        <v>11008.629152542373</v>
      </c>
      <c r="BQ225" s="19">
        <f t="shared" si="872"/>
        <v>3820.4459520000019</v>
      </c>
      <c r="BR225" s="19">
        <f t="shared" si="1007"/>
        <v>13331.476603200003</v>
      </c>
      <c r="BS225" s="19">
        <f t="shared" si="981"/>
        <v>29710.929523844068</v>
      </c>
      <c r="BT225" s="19">
        <f t="shared" si="1008"/>
        <v>11615.515118644065</v>
      </c>
      <c r="BU225" s="19">
        <f t="shared" si="873"/>
        <v>4030.2873600000003</v>
      </c>
      <c r="BV225" s="19">
        <f t="shared" si="1009"/>
        <v>14065.127045200001</v>
      </c>
      <c r="BW225" s="19">
        <f t="shared" si="982"/>
        <v>9726.1144793374297</v>
      </c>
      <c r="BX225" s="19">
        <f t="shared" si="996"/>
        <v>5415.4539180790962</v>
      </c>
      <c r="BY225" s="19">
        <f t="shared" si="997"/>
        <v>1879.0243266666669</v>
      </c>
      <c r="BZ225" s="19">
        <f t="shared" si="998"/>
        <v>2431.6362345916668</v>
      </c>
      <c r="CA225" s="19">
        <f t="shared" si="983"/>
        <v>0</v>
      </c>
      <c r="CB225" s="19">
        <f t="shared" si="984"/>
        <v>0</v>
      </c>
      <c r="CC225" s="19">
        <f t="shared" si="985"/>
        <v>0</v>
      </c>
      <c r="CD225" s="19">
        <f t="shared" si="906"/>
        <v>0</v>
      </c>
      <c r="CE225" s="48">
        <f t="shared" si="952"/>
        <v>121.58437445712391</v>
      </c>
      <c r="CF225" s="48">
        <f t="shared" si="953"/>
        <v>44.52</v>
      </c>
      <c r="CG225" s="48">
        <f t="shared" si="954"/>
        <v>46.97</v>
      </c>
      <c r="CH225" s="48">
        <f t="shared" si="955"/>
        <v>36.83</v>
      </c>
      <c r="CI225" s="48">
        <f t="shared" si="956"/>
        <v>39</v>
      </c>
      <c r="CJ225" s="48">
        <f t="shared" si="957"/>
        <v>41.15</v>
      </c>
      <c r="CK225" s="48">
        <f t="shared" si="958"/>
        <v>42.04098176979285</v>
      </c>
      <c r="CL225" s="48">
        <f t="shared" si="959"/>
        <v>44.520446258996756</v>
      </c>
      <c r="CM225" s="48">
        <f t="shared" si="960"/>
        <v>46.971517280588962</v>
      </c>
      <c r="CN225" s="48">
        <f t="shared" si="929"/>
        <v>44.510981769792849</v>
      </c>
      <c r="CO225" s="48">
        <f t="shared" si="961"/>
        <v>23.485000000000003</v>
      </c>
      <c r="CP225" s="48">
        <f t="shared" si="962"/>
        <v>0</v>
      </c>
      <c r="CQ225" s="48">
        <f t="shared" si="963"/>
        <v>20.574999999999999</v>
      </c>
      <c r="CR225" s="48">
        <f t="shared" si="964"/>
        <v>0</v>
      </c>
      <c r="CS225" s="48">
        <f t="shared" si="965"/>
        <v>23.486080475963096</v>
      </c>
      <c r="CT225" s="48">
        <f t="shared" si="966"/>
        <v>0</v>
      </c>
      <c r="CU225" s="48">
        <f t="shared" si="930"/>
        <v>11.743040237981548</v>
      </c>
      <c r="CV225" s="48">
        <f t="shared" si="967"/>
        <v>26.382343797123127</v>
      </c>
      <c r="CW225" s="19" t="e">
        <f t="shared" si="986"/>
        <v>#REF!</v>
      </c>
      <c r="CX225" s="19" t="e">
        <f t="shared" si="987"/>
        <v>#REF!</v>
      </c>
      <c r="CY225" s="19">
        <f t="shared" si="999"/>
        <v>4599.436340748588</v>
      </c>
      <c r="CZ225" s="19">
        <f t="shared" si="1000"/>
        <v>6194.9433635833329</v>
      </c>
      <c r="DA225" s="21" t="e">
        <f t="shared" si="968"/>
        <v>#REF!</v>
      </c>
      <c r="DB225" s="21">
        <f t="shared" si="969"/>
        <v>74.245010338369624</v>
      </c>
      <c r="DC225" s="79" t="e">
        <f t="shared" si="970"/>
        <v>#REF!</v>
      </c>
      <c r="DD225" s="79" t="e">
        <f t="shared" si="970"/>
        <v>#REF!</v>
      </c>
      <c r="DE225" s="79">
        <f t="shared" si="971"/>
        <v>8229.0880274166666</v>
      </c>
      <c r="DF225" s="79">
        <f t="shared" si="971"/>
        <v>0</v>
      </c>
      <c r="DG225" s="79">
        <f t="shared" si="874"/>
        <v>0</v>
      </c>
      <c r="DH225" s="51">
        <f t="shared" si="972"/>
        <v>8229.0880274166666</v>
      </c>
      <c r="DI225" s="39"/>
      <c r="DJ225" s="80" t="e">
        <f t="shared" si="973"/>
        <v>#REF!</v>
      </c>
      <c r="DK225" s="39" t="e">
        <f t="shared" si="974"/>
        <v>#REF!</v>
      </c>
      <c r="DL225" s="39" t="e">
        <f t="shared" si="975"/>
        <v>#REF!</v>
      </c>
      <c r="DM225" s="48"/>
      <c r="DN225" s="39"/>
      <c r="DO225" s="39"/>
      <c r="DP225" s="39"/>
      <c r="DQ225" s="39"/>
      <c r="DR225" s="39"/>
      <c r="DS225" s="39"/>
      <c r="DT225" s="39"/>
      <c r="DU225" s="19">
        <f t="shared" si="926"/>
        <v>0</v>
      </c>
      <c r="DV225" s="40">
        <f t="shared" si="912"/>
        <v>0</v>
      </c>
      <c r="DW225" s="40">
        <f t="shared" si="913"/>
        <v>0</v>
      </c>
      <c r="DX225" s="46"/>
      <c r="DY225" s="21">
        <f t="shared" si="914"/>
        <v>0</v>
      </c>
      <c r="DZ225" s="19">
        <f t="shared" si="915"/>
        <v>0</v>
      </c>
      <c r="EA225" s="19">
        <f t="shared" si="916"/>
        <v>0</v>
      </c>
      <c r="EB225" s="19"/>
      <c r="EC225" s="48">
        <f t="shared" si="988"/>
        <v>0</v>
      </c>
      <c r="ED225" s="48">
        <f t="shared" si="989"/>
        <v>0</v>
      </c>
      <c r="EE225" s="22"/>
      <c r="EF225" s="22"/>
      <c r="EG225" s="22">
        <f t="shared" si="917"/>
        <v>0</v>
      </c>
      <c r="EH225" s="22"/>
      <c r="EI225" s="22"/>
      <c r="EJ225" s="22">
        <f t="shared" si="918"/>
        <v>0</v>
      </c>
      <c r="EK225" s="40"/>
      <c r="EL225" s="19"/>
      <c r="EM225" s="19"/>
      <c r="EN225" s="40">
        <f t="shared" si="891"/>
        <v>0</v>
      </c>
      <c r="EO225" s="40">
        <f t="shared" si="892"/>
        <v>0</v>
      </c>
      <c r="EP225" s="40"/>
      <c r="EQ225" s="21">
        <f t="shared" si="888"/>
        <v>0</v>
      </c>
      <c r="ER225" s="21"/>
      <c r="ES225" s="21"/>
      <c r="ET225" s="21"/>
      <c r="EU225" s="19">
        <f t="shared" si="893"/>
        <v>0</v>
      </c>
      <c r="EV225" s="21"/>
      <c r="EW225" s="39"/>
      <c r="EX225" s="39">
        <f t="shared" si="882"/>
        <v>0</v>
      </c>
      <c r="EY225" s="39">
        <f t="shared" si="951"/>
        <v>0</v>
      </c>
      <c r="EZ225" s="39"/>
      <c r="FA225" s="39"/>
      <c r="FB225" s="39"/>
      <c r="FC225" s="39"/>
      <c r="FD225" s="39"/>
      <c r="FE225" s="39"/>
      <c r="FF225" s="39"/>
      <c r="FG225" s="39"/>
      <c r="FH225" s="39"/>
      <c r="FI225" s="39"/>
      <c r="FJ225" s="19">
        <f t="shared" si="894"/>
        <v>0</v>
      </c>
      <c r="FK225" s="19">
        <f t="shared" si="895"/>
        <v>0</v>
      </c>
      <c r="FL225" s="19">
        <f t="shared" si="896"/>
        <v>0</v>
      </c>
      <c r="FM225" s="19"/>
      <c r="FN225" s="19"/>
      <c r="FO225" s="22">
        <f t="shared" si="1002"/>
        <v>0</v>
      </c>
      <c r="FP225" s="22"/>
      <c r="FQ225" s="22"/>
      <c r="FR225" s="22">
        <f t="shared" si="931"/>
        <v>0</v>
      </c>
      <c r="FS225" s="22"/>
      <c r="FT225" s="22"/>
      <c r="FU225" s="40"/>
      <c r="FV225" s="19">
        <f t="shared" si="990"/>
        <v>0</v>
      </c>
      <c r="FW225" s="19">
        <f t="shared" si="991"/>
        <v>0</v>
      </c>
      <c r="FX225" s="19">
        <f t="shared" si="940"/>
        <v>0</v>
      </c>
      <c r="FY225" s="19">
        <f t="shared" si="941"/>
        <v>0</v>
      </c>
      <c r="FZ225" s="19">
        <f t="shared" si="942"/>
        <v>0</v>
      </c>
      <c r="GA225" s="19">
        <f t="shared" si="943"/>
        <v>0</v>
      </c>
      <c r="GB225" s="19">
        <f t="shared" si="944"/>
        <v>0</v>
      </c>
      <c r="GC225" s="20">
        <f t="shared" si="977"/>
        <v>0</v>
      </c>
      <c r="GD225" s="20">
        <f t="shared" si="945"/>
        <v>0</v>
      </c>
      <c r="GE225" s="21"/>
      <c r="GF225" s="21"/>
      <c r="GG225" s="21"/>
      <c r="GH225" s="21"/>
      <c r="GI225" s="21"/>
      <c r="GJ225" s="21"/>
      <c r="GK225" s="21"/>
      <c r="GL225" s="21"/>
      <c r="GM225" s="19"/>
      <c r="GN225" s="19"/>
      <c r="GO225" s="22"/>
      <c r="GP225" s="22"/>
      <c r="GQ225" s="22"/>
      <c r="GR225" s="22"/>
      <c r="GS225" s="22"/>
      <c r="GT225" s="22"/>
      <c r="GU225" s="43"/>
      <c r="GV225" s="19"/>
      <c r="GW225" s="19"/>
      <c r="GX225" s="19"/>
      <c r="GY225" s="19"/>
      <c r="GZ225" s="19"/>
      <c r="HA225" s="22"/>
      <c r="HB225" s="22"/>
      <c r="HC225" s="22"/>
      <c r="HD225" s="22"/>
      <c r="HE225" s="22"/>
      <c r="HF225" s="22"/>
      <c r="HG225" s="233"/>
    </row>
    <row r="226" spans="2:215" ht="15.6" hidden="1" customHeight="1">
      <c r="B226" s="10"/>
      <c r="C226" s="184" t="s">
        <v>366</v>
      </c>
      <c r="D226" s="73">
        <f t="shared" si="992"/>
        <v>12806.85</v>
      </c>
      <c r="E226" s="73">
        <f>+'[2]2012(объемы годовые)'!M236</f>
        <v>12806.85</v>
      </c>
      <c r="F226" s="75">
        <f>+'[2]уровень платежа граждан 11-12 г'!M237</f>
        <v>7077.06531</v>
      </c>
      <c r="G226" s="75">
        <f>+'[2]уровень платежа граждан 11-12 г'!N237</f>
        <v>1909.5013349999999</v>
      </c>
      <c r="H226" s="75">
        <f>+'[2]уровень платежа граждан 11-12 г'!O237</f>
        <v>3820.283355</v>
      </c>
      <c r="I226" s="73">
        <f>+'[2]2012(объемы годовые)'!Q236+'[2]2012(объемы годовые)'!U236+'[2]2012(объемы годовые)'!Y236</f>
        <v>0</v>
      </c>
      <c r="J226" s="73">
        <f>+'[2]уровень платежа граждан 11-12 г'!Q237+'[2]уровень платежа граждан 11-12 г'!U237+'[2]уровень платежа граждан 11-12 г'!Y237</f>
        <v>0</v>
      </c>
      <c r="K226" s="73">
        <f>+'[2]уровень платежа граждан 11-12 г'!R237+'[2]уровень платежа граждан 11-12 г'!V237+'[2]уровень платежа граждан 11-12 г'!Z237</f>
        <v>0</v>
      </c>
      <c r="L226" s="73">
        <f>+'[2]уровень платежа граждан 11-12 г'!S237+'[2]уровень платежа граждан 11-12 г'!W237+'[2]уровень платежа граждан 11-12 г'!AA237</f>
        <v>0</v>
      </c>
      <c r="M226" s="191">
        <f t="shared" si="1001"/>
        <v>81129.904999999999</v>
      </c>
      <c r="N226" s="191">
        <f t="shared" si="993"/>
        <v>68909.824999999997</v>
      </c>
      <c r="O226" s="74">
        <v>4756.875</v>
      </c>
      <c r="P226" s="74">
        <v>10183</v>
      </c>
      <c r="Q226" s="74">
        <v>53969.95</v>
      </c>
      <c r="R226" s="191">
        <f t="shared" si="994"/>
        <v>12220.08</v>
      </c>
      <c r="S226" s="74">
        <v>0</v>
      </c>
      <c r="T226" s="74">
        <v>1339.53</v>
      </c>
      <c r="U226" s="74">
        <v>10880.55</v>
      </c>
      <c r="V226" s="22">
        <v>267.43</v>
      </c>
      <c r="W226" s="22">
        <v>267.43</v>
      </c>
      <c r="X226" s="52">
        <f t="shared" si="927"/>
        <v>100</v>
      </c>
      <c r="Y226" s="22">
        <v>283.20999999999998</v>
      </c>
      <c r="Z226" s="22">
        <f t="shared" si="852"/>
        <v>105.9006095052911</v>
      </c>
      <c r="AA226" s="22">
        <v>297.12</v>
      </c>
      <c r="AB226" s="22">
        <f t="shared" si="853"/>
        <v>104.91154973341337</v>
      </c>
      <c r="AC226" s="22">
        <v>297.12</v>
      </c>
      <c r="AD226" s="22"/>
      <c r="AE226" s="22"/>
      <c r="AF226" s="22"/>
      <c r="AG226" s="22">
        <f t="shared" si="889"/>
        <v>0</v>
      </c>
      <c r="AH226" s="22">
        <v>99.07</v>
      </c>
      <c r="AI226" s="22">
        <v>99.07</v>
      </c>
      <c r="AJ226" s="52">
        <f t="shared" si="854"/>
        <v>100</v>
      </c>
      <c r="AK226" s="22">
        <v>104.91</v>
      </c>
      <c r="AL226" s="22">
        <f t="shared" si="855"/>
        <v>105.8948218431412</v>
      </c>
      <c r="AM226" s="22">
        <v>110.16</v>
      </c>
      <c r="AN226" s="22">
        <f t="shared" si="856"/>
        <v>105.00428939090649</v>
      </c>
      <c r="AO226" s="22">
        <f t="shared" si="928"/>
        <v>111.10197060913136</v>
      </c>
      <c r="AP226" s="22">
        <f t="shared" si="857"/>
        <v>111.19410517815686</v>
      </c>
      <c r="AQ226" s="22">
        <v>110.16</v>
      </c>
      <c r="AR226" s="22"/>
      <c r="AS226" s="22"/>
      <c r="AT226" s="22"/>
      <c r="AU226" s="22">
        <f t="shared" si="890"/>
        <v>0</v>
      </c>
      <c r="AV226" s="77"/>
      <c r="AW226" s="77">
        <f t="shared" si="995"/>
        <v>1.43439090146085</v>
      </c>
      <c r="AX226" s="239"/>
      <c r="AY226" s="22">
        <f t="shared" si="898"/>
        <v>0</v>
      </c>
      <c r="AZ226" s="22"/>
      <c r="BA226" s="22"/>
      <c r="BB226" s="22"/>
      <c r="BC226" s="22"/>
      <c r="BD226" s="22"/>
      <c r="BE226" s="22">
        <f t="shared" si="924"/>
        <v>0</v>
      </c>
      <c r="BF226" s="22"/>
      <c r="BG226" s="22"/>
      <c r="BH226" s="22">
        <f t="shared" si="925"/>
        <v>0</v>
      </c>
      <c r="BI226" s="22"/>
      <c r="BJ226" s="40"/>
      <c r="BK226" s="19">
        <f t="shared" si="979"/>
        <v>3424.9055063644073</v>
      </c>
      <c r="BL226" s="19">
        <f t="shared" si="1003"/>
        <v>1075.2327368644069</v>
      </c>
      <c r="BM226" s="19">
        <f t="shared" si="1004"/>
        <v>2349.6727695000004</v>
      </c>
      <c r="BN226" s="19">
        <f t="shared" si="1005"/>
        <v>0</v>
      </c>
      <c r="BO226" s="19">
        <f t="shared" si="980"/>
        <v>3626.9867461016947</v>
      </c>
      <c r="BP226" s="19">
        <f t="shared" si="1006"/>
        <v>1138.6157911016951</v>
      </c>
      <c r="BQ226" s="19">
        <f t="shared" si="872"/>
        <v>2488.3709549999999</v>
      </c>
      <c r="BR226" s="19">
        <f t="shared" si="1007"/>
        <v>0</v>
      </c>
      <c r="BS226" s="19">
        <f t="shared" si="981"/>
        <v>3805.1191763389829</v>
      </c>
      <c r="BT226" s="19">
        <f t="shared" si="1008"/>
        <v>1195.5954203389829</v>
      </c>
      <c r="BU226" s="19">
        <f t="shared" si="873"/>
        <v>2609.523756</v>
      </c>
      <c r="BV226" s="19">
        <f t="shared" si="1009"/>
        <v>0</v>
      </c>
      <c r="BW226" s="19">
        <f t="shared" si="982"/>
        <v>12052.518531223728</v>
      </c>
      <c r="BX226" s="19">
        <f t="shared" si="996"/>
        <v>3216.5704754237286</v>
      </c>
      <c r="BY226" s="19">
        <f t="shared" si="997"/>
        <v>7020.5329709999987</v>
      </c>
      <c r="BZ226" s="19">
        <f t="shared" si="998"/>
        <v>1815.4150848000002</v>
      </c>
      <c r="CA226" s="19">
        <f t="shared" si="983"/>
        <v>0</v>
      </c>
      <c r="CB226" s="19">
        <f t="shared" si="984"/>
        <v>0</v>
      </c>
      <c r="CC226" s="19">
        <f t="shared" si="985"/>
        <v>0</v>
      </c>
      <c r="CD226" s="19">
        <f t="shared" si="906"/>
        <v>0</v>
      </c>
      <c r="CE226" s="48">
        <f t="shared" si="952"/>
        <v>0</v>
      </c>
      <c r="CF226" s="48">
        <f t="shared" si="953"/>
        <v>0</v>
      </c>
      <c r="CG226" s="48">
        <f t="shared" si="954"/>
        <v>0</v>
      </c>
      <c r="CH226" s="48">
        <f t="shared" si="955"/>
        <v>99.07</v>
      </c>
      <c r="CI226" s="48">
        <f t="shared" si="956"/>
        <v>104.91</v>
      </c>
      <c r="CJ226" s="48">
        <f t="shared" si="957"/>
        <v>110.15999999999997</v>
      </c>
      <c r="CK226" s="48">
        <f t="shared" si="958"/>
        <v>267.42762711864407</v>
      </c>
      <c r="CL226" s="48">
        <f t="shared" si="959"/>
        <v>283.20677966101692</v>
      </c>
      <c r="CM226" s="48">
        <f t="shared" si="960"/>
        <v>297.11593220338983</v>
      </c>
      <c r="CN226" s="48">
        <f t="shared" si="929"/>
        <v>282.58344632768359</v>
      </c>
      <c r="CO226" s="48">
        <f t="shared" si="961"/>
        <v>148.56000000000003</v>
      </c>
      <c r="CP226" s="48">
        <f t="shared" si="962"/>
        <v>0</v>
      </c>
      <c r="CQ226" s="48">
        <f t="shared" si="963"/>
        <v>55.079999999999991</v>
      </c>
      <c r="CR226" s="48">
        <f t="shared" si="964"/>
        <v>0</v>
      </c>
      <c r="CS226" s="48">
        <f t="shared" si="965"/>
        <v>148.55827245482081</v>
      </c>
      <c r="CT226" s="48">
        <f t="shared" si="966"/>
        <v>0</v>
      </c>
      <c r="CU226" s="48">
        <f t="shared" si="930"/>
        <v>74.279136227410405</v>
      </c>
      <c r="CV226" s="48">
        <f t="shared" si="967"/>
        <v>26.285735131588833</v>
      </c>
      <c r="CW226" s="19">
        <f t="shared" si="986"/>
        <v>1120.5873387316526</v>
      </c>
      <c r="CX226" s="19">
        <f t="shared" si="987"/>
        <v>3568.49203937625</v>
      </c>
      <c r="CY226" s="19">
        <f t="shared" si="999"/>
        <v>444.08249999999998</v>
      </c>
      <c r="CZ226" s="19">
        <f t="shared" si="1000"/>
        <v>1413.3626999999999</v>
      </c>
      <c r="DA226" s="21">
        <f t="shared" si="968"/>
        <v>31.402265336915935</v>
      </c>
      <c r="DB226" s="21">
        <f t="shared" si="969"/>
        <v>31.420278743736478</v>
      </c>
      <c r="DC226" s="79">
        <f t="shared" si="970"/>
        <v>39.629441155621031</v>
      </c>
      <c r="DD226" s="79">
        <f t="shared" si="970"/>
        <v>39.606721393920971</v>
      </c>
      <c r="DE226" s="79">
        <f t="shared" si="971"/>
        <v>1413.3626999999999</v>
      </c>
      <c r="DF226" s="79">
        <f t="shared" si="971"/>
        <v>0</v>
      </c>
      <c r="DG226" s="79">
        <f t="shared" si="874"/>
        <v>0</v>
      </c>
      <c r="DH226" s="51">
        <f t="shared" si="972"/>
        <v>1413.3626999999999</v>
      </c>
      <c r="DI226" s="39"/>
      <c r="DJ226" s="80">
        <f t="shared" si="973"/>
        <v>1892.6195758533001</v>
      </c>
      <c r="DK226" s="39">
        <f t="shared" si="974"/>
        <v>540.78987308534988</v>
      </c>
      <c r="DL226" s="39">
        <f t="shared" si="975"/>
        <v>1135.0825904375999</v>
      </c>
      <c r="DM226" s="48"/>
      <c r="DN226" s="39"/>
      <c r="DO226" s="39"/>
      <c r="DP226" s="39"/>
      <c r="DQ226" s="39"/>
      <c r="DR226" s="39"/>
      <c r="DS226" s="39"/>
      <c r="DT226" s="39"/>
      <c r="DU226" s="19">
        <f t="shared" si="926"/>
        <v>0</v>
      </c>
      <c r="DV226" s="40">
        <f t="shared" si="912"/>
        <v>0</v>
      </c>
      <c r="DW226" s="40">
        <f t="shared" si="913"/>
        <v>0</v>
      </c>
      <c r="DX226" s="46"/>
      <c r="DY226" s="21">
        <f t="shared" si="914"/>
        <v>0</v>
      </c>
      <c r="DZ226" s="19">
        <f t="shared" si="915"/>
        <v>0</v>
      </c>
      <c r="EA226" s="19">
        <f t="shared" si="916"/>
        <v>0</v>
      </c>
      <c r="EB226" s="19"/>
      <c r="EC226" s="48">
        <f t="shared" si="988"/>
        <v>0</v>
      </c>
      <c r="ED226" s="48">
        <f t="shared" si="989"/>
        <v>0</v>
      </c>
      <c r="EE226" s="22"/>
      <c r="EF226" s="22"/>
      <c r="EG226" s="22">
        <f t="shared" si="917"/>
        <v>0</v>
      </c>
      <c r="EH226" s="22"/>
      <c r="EI226" s="22"/>
      <c r="EJ226" s="22">
        <f t="shared" si="918"/>
        <v>0</v>
      </c>
      <c r="EK226" s="40"/>
      <c r="EL226" s="19"/>
      <c r="EM226" s="19"/>
      <c r="EN226" s="40">
        <f t="shared" si="891"/>
        <v>0</v>
      </c>
      <c r="EO226" s="40">
        <f t="shared" si="892"/>
        <v>0</v>
      </c>
      <c r="EP226" s="40"/>
      <c r="EQ226" s="21">
        <f t="shared" si="888"/>
        <v>0</v>
      </c>
      <c r="ER226" s="21"/>
      <c r="ES226" s="21"/>
      <c r="ET226" s="21"/>
      <c r="EU226" s="19">
        <f t="shared" si="893"/>
        <v>0</v>
      </c>
      <c r="EV226" s="21"/>
      <c r="EW226" s="39"/>
      <c r="EX226" s="39">
        <f t="shared" si="882"/>
        <v>0</v>
      </c>
      <c r="EY226" s="39">
        <f t="shared" si="951"/>
        <v>0</v>
      </c>
      <c r="EZ226" s="39"/>
      <c r="FA226" s="39"/>
      <c r="FB226" s="39"/>
      <c r="FC226" s="39"/>
      <c r="FD226" s="39"/>
      <c r="FE226" s="39"/>
      <c r="FF226" s="39"/>
      <c r="FG226" s="39"/>
      <c r="FH226" s="39"/>
      <c r="FI226" s="39"/>
      <c r="FJ226" s="19">
        <f t="shared" si="894"/>
        <v>0</v>
      </c>
      <c r="FK226" s="19">
        <f t="shared" si="895"/>
        <v>0</v>
      </c>
      <c r="FL226" s="19">
        <f t="shared" si="896"/>
        <v>0</v>
      </c>
      <c r="FM226" s="19"/>
      <c r="FN226" s="19"/>
      <c r="FO226" s="22">
        <f t="shared" si="1002"/>
        <v>0</v>
      </c>
      <c r="FP226" s="22"/>
      <c r="FQ226" s="22"/>
      <c r="FR226" s="22">
        <f t="shared" si="931"/>
        <v>0</v>
      </c>
      <c r="FS226" s="22"/>
      <c r="FT226" s="22"/>
      <c r="FU226" s="40"/>
      <c r="FV226" s="19">
        <f t="shared" si="990"/>
        <v>0</v>
      </c>
      <c r="FW226" s="19">
        <f t="shared" si="991"/>
        <v>0</v>
      </c>
      <c r="FX226" s="19">
        <f t="shared" si="940"/>
        <v>0</v>
      </c>
      <c r="FY226" s="19">
        <f t="shared" si="941"/>
        <v>0</v>
      </c>
      <c r="FZ226" s="19">
        <f t="shared" si="942"/>
        <v>0</v>
      </c>
      <c r="GA226" s="19">
        <f t="shared" si="943"/>
        <v>0</v>
      </c>
      <c r="GB226" s="19">
        <f t="shared" si="944"/>
        <v>0</v>
      </c>
      <c r="GC226" s="20">
        <f t="shared" si="977"/>
        <v>0</v>
      </c>
      <c r="GD226" s="20">
        <f t="shared" si="945"/>
        <v>0</v>
      </c>
      <c r="GE226" s="21"/>
      <c r="GF226" s="21"/>
      <c r="GG226" s="21"/>
      <c r="GH226" s="21"/>
      <c r="GI226" s="21"/>
      <c r="GJ226" s="21"/>
      <c r="GK226" s="21"/>
      <c r="GL226" s="21"/>
      <c r="GM226" s="19"/>
      <c r="GN226" s="19"/>
      <c r="GO226" s="22"/>
      <c r="GP226" s="22"/>
      <c r="GQ226" s="22"/>
      <c r="GR226" s="22"/>
      <c r="GS226" s="22"/>
      <c r="GT226" s="22"/>
      <c r="GU226" s="43"/>
      <c r="GV226" s="19"/>
      <c r="GW226" s="19"/>
      <c r="GX226" s="19"/>
      <c r="GY226" s="19"/>
      <c r="GZ226" s="19"/>
      <c r="HA226" s="22"/>
      <c r="HB226" s="22"/>
      <c r="HC226" s="22"/>
      <c r="HD226" s="22"/>
      <c r="HE226" s="22"/>
      <c r="HF226" s="22"/>
      <c r="HG226" s="233"/>
    </row>
    <row r="227" spans="2:215" ht="15.6" hidden="1" customHeight="1">
      <c r="B227" s="10"/>
      <c r="C227" s="184" t="s">
        <v>367</v>
      </c>
      <c r="D227" s="73">
        <f t="shared" si="992"/>
        <v>52292.149999999994</v>
      </c>
      <c r="E227" s="73">
        <f>+'[2]2012(объемы годовые)'!M237</f>
        <v>43031.53</v>
      </c>
      <c r="F227" s="75">
        <f>+'[2]уровень платежа граждан 11-12 г'!M238</f>
        <v>23779.223478</v>
      </c>
      <c r="G227" s="75">
        <f>+'[2]уровень платежа граждан 11-12 г'!N238</f>
        <v>6416.001123</v>
      </c>
      <c r="H227" s="75">
        <f>+'[2]уровень платежа граждан 11-12 г'!O238</f>
        <v>12836.305399000001</v>
      </c>
      <c r="I227" s="73">
        <f>+'[2]2012(объемы годовые)'!Q237+'[2]2012(объемы годовые)'!U237+'[2]2012(объемы годовые)'!Y237</f>
        <v>9260.619999999999</v>
      </c>
      <c r="J227" s="73">
        <f>+'[2]уровень платежа граждан 11-12 г'!Q238+'[2]уровень платежа граждан 11-12 г'!U238+'[2]уровень платежа граждан 11-12 г'!Y238</f>
        <v>5117.4186120000004</v>
      </c>
      <c r="K227" s="73">
        <f>+'[2]уровень платежа граждан 11-12 г'!R238+'[2]уровень платежа граждан 11-12 г'!V238+'[2]уровень платежа граждан 11-12 г'!Z238</f>
        <v>1380.7584420000001</v>
      </c>
      <c r="L227" s="73">
        <f>+'[2]уровень платежа граждан 11-12 г'!S238+'[2]уровень платежа граждан 11-12 г'!W238+'[2]уровень платежа граждан 11-12 г'!AA238</f>
        <v>2762.4429460000001</v>
      </c>
      <c r="M227" s="191">
        <f t="shared" si="1001"/>
        <v>20685.566000000003</v>
      </c>
      <c r="N227" s="191">
        <f t="shared" si="993"/>
        <v>16421.175000000003</v>
      </c>
      <c r="O227" s="74">
        <v>16421.175000000003</v>
      </c>
      <c r="P227" s="74">
        <v>0</v>
      </c>
      <c r="Q227" s="74">
        <v>0</v>
      </c>
      <c r="R227" s="191">
        <f t="shared" si="994"/>
        <v>4264.3909999999996</v>
      </c>
      <c r="S227" s="74">
        <v>4264.3909999999996</v>
      </c>
      <c r="T227" s="74">
        <v>0</v>
      </c>
      <c r="U227" s="74">
        <v>0</v>
      </c>
      <c r="V227" s="22">
        <v>170</v>
      </c>
      <c r="W227" s="22">
        <v>170</v>
      </c>
      <c r="X227" s="52">
        <f t="shared" si="927"/>
        <v>100</v>
      </c>
      <c r="Y227" s="22">
        <v>180.03</v>
      </c>
      <c r="Z227" s="22">
        <f t="shared" si="852"/>
        <v>105.89999999999999</v>
      </c>
      <c r="AA227" s="22">
        <v>188.98</v>
      </c>
      <c r="AB227" s="22">
        <f t="shared" si="853"/>
        <v>104.97139365661279</v>
      </c>
      <c r="AC227" s="22">
        <v>188.98</v>
      </c>
      <c r="AD227" s="22"/>
      <c r="AE227" s="22"/>
      <c r="AF227" s="22"/>
      <c r="AG227" s="22">
        <f t="shared" si="889"/>
        <v>0</v>
      </c>
      <c r="AH227" s="22">
        <v>99.07</v>
      </c>
      <c r="AI227" s="22">
        <v>99.07</v>
      </c>
      <c r="AJ227" s="52">
        <f t="shared" si="854"/>
        <v>100</v>
      </c>
      <c r="AK227" s="22">
        <v>104.91</v>
      </c>
      <c r="AL227" s="22">
        <f t="shared" si="855"/>
        <v>105.8948218431412</v>
      </c>
      <c r="AM227" s="22">
        <v>110.16</v>
      </c>
      <c r="AN227" s="22">
        <f t="shared" si="856"/>
        <v>105.00428939090649</v>
      </c>
      <c r="AO227" s="22">
        <f t="shared" si="928"/>
        <v>111.16470588235295</v>
      </c>
      <c r="AP227" s="22">
        <f t="shared" si="857"/>
        <v>111.19410517815686</v>
      </c>
      <c r="AQ227" s="22">
        <v>110.16</v>
      </c>
      <c r="AR227" s="22"/>
      <c r="AS227" s="22"/>
      <c r="AT227" s="22"/>
      <c r="AU227" s="22">
        <f t="shared" si="890"/>
        <v>0</v>
      </c>
      <c r="AV227" s="77"/>
      <c r="AW227" s="77">
        <f t="shared" si="995"/>
        <v>4.9516508235546191</v>
      </c>
      <c r="AX227" s="239"/>
      <c r="AY227" s="22">
        <f t="shared" si="898"/>
        <v>0</v>
      </c>
      <c r="AZ227" s="22"/>
      <c r="BA227" s="22"/>
      <c r="BB227" s="22"/>
      <c r="BC227" s="22"/>
      <c r="BD227" s="22"/>
      <c r="BE227" s="22">
        <f t="shared" si="924"/>
        <v>0</v>
      </c>
      <c r="BF227" s="22"/>
      <c r="BG227" s="22"/>
      <c r="BH227" s="22">
        <f t="shared" si="925"/>
        <v>0</v>
      </c>
      <c r="BI227" s="22"/>
      <c r="BJ227" s="40"/>
      <c r="BK227" s="19">
        <f t="shared" si="979"/>
        <v>8889.5633912847461</v>
      </c>
      <c r="BL227" s="19">
        <f t="shared" si="1003"/>
        <v>3612.8251500847459</v>
      </c>
      <c r="BM227" s="19">
        <f t="shared" si="1004"/>
        <v>3702.4328412</v>
      </c>
      <c r="BN227" s="19">
        <f t="shared" si="1005"/>
        <v>1574.3054</v>
      </c>
      <c r="BO227" s="19">
        <f t="shared" si="980"/>
        <v>9414.0171883864405</v>
      </c>
      <c r="BP227" s="19">
        <f t="shared" si="1006"/>
        <v>3825.7947561864412</v>
      </c>
      <c r="BQ227" s="19">
        <f t="shared" si="872"/>
        <v>3921.0330136000002</v>
      </c>
      <c r="BR227" s="19">
        <f t="shared" si="1007"/>
        <v>1667.1894185999997</v>
      </c>
      <c r="BS227" s="19">
        <f t="shared" si="981"/>
        <v>9881.9954634881342</v>
      </c>
      <c r="BT227" s="19">
        <f t="shared" si="1008"/>
        <v>4017.2485972881354</v>
      </c>
      <c r="BU227" s="19">
        <f t="shared" si="873"/>
        <v>4114.6748985999993</v>
      </c>
      <c r="BV227" s="19">
        <f t="shared" si="1009"/>
        <v>1750.0719675999997</v>
      </c>
      <c r="BW227" s="19">
        <f t="shared" si="982"/>
        <v>1954.5457323400003</v>
      </c>
      <c r="BX227" s="19">
        <f t="shared" si="996"/>
        <v>766.50705000000016</v>
      </c>
      <c r="BY227" s="19">
        <f t="shared" si="997"/>
        <v>785.0963767500001</v>
      </c>
      <c r="BZ227" s="19">
        <f t="shared" si="998"/>
        <v>402.94230558999993</v>
      </c>
      <c r="CA227" s="19">
        <f t="shared" si="983"/>
        <v>0</v>
      </c>
      <c r="CB227" s="19">
        <f t="shared" si="984"/>
        <v>0</v>
      </c>
      <c r="CC227" s="19">
        <f t="shared" si="985"/>
        <v>0</v>
      </c>
      <c r="CD227" s="19">
        <f t="shared" si="906"/>
        <v>0</v>
      </c>
      <c r="CE227" s="48">
        <f t="shared" si="952"/>
        <v>369.17473092875395</v>
      </c>
      <c r="CF227" s="48">
        <f t="shared" si="953"/>
        <v>180.03</v>
      </c>
      <c r="CG227" s="48">
        <f t="shared" si="954"/>
        <v>188.98</v>
      </c>
      <c r="CH227" s="48">
        <f t="shared" si="955"/>
        <v>99.07</v>
      </c>
      <c r="CI227" s="48">
        <f t="shared" si="956"/>
        <v>104.91000000000001</v>
      </c>
      <c r="CJ227" s="48">
        <f t="shared" si="957"/>
        <v>110.16</v>
      </c>
      <c r="CK227" s="48">
        <f t="shared" si="958"/>
        <v>169.99804734142214</v>
      </c>
      <c r="CL227" s="48">
        <f t="shared" si="959"/>
        <v>180.0273499633586</v>
      </c>
      <c r="CM227" s="48">
        <f t="shared" si="960"/>
        <v>188.97665258529503</v>
      </c>
      <c r="CN227" s="48">
        <f t="shared" si="929"/>
        <v>179.66734996335859</v>
      </c>
      <c r="CO227" s="48">
        <f t="shared" si="961"/>
        <v>94.49</v>
      </c>
      <c r="CP227" s="48">
        <f t="shared" si="962"/>
        <v>0</v>
      </c>
      <c r="CQ227" s="48">
        <f t="shared" si="963"/>
        <v>55.08</v>
      </c>
      <c r="CR227" s="48">
        <f t="shared" si="964"/>
        <v>0</v>
      </c>
      <c r="CS227" s="48">
        <f t="shared" si="965"/>
        <v>94.488385395884265</v>
      </c>
      <c r="CT227" s="48">
        <f t="shared" si="966"/>
        <v>0</v>
      </c>
      <c r="CU227" s="48">
        <f t="shared" si="930"/>
        <v>47.244192697942132</v>
      </c>
      <c r="CV227" s="48">
        <f t="shared" si="967"/>
        <v>26.295369029251631</v>
      </c>
      <c r="CW227" s="19">
        <f t="shared" si="986"/>
        <v>3765.2184326552797</v>
      </c>
      <c r="CX227" s="19">
        <f t="shared" si="987"/>
        <v>7623.3456677367112</v>
      </c>
      <c r="CY227" s="19">
        <f t="shared" si="999"/>
        <v>1533.0141000000003</v>
      </c>
      <c r="CZ227" s="19">
        <f t="shared" si="1000"/>
        <v>3103.2736515000001</v>
      </c>
      <c r="DA227" s="21">
        <f t="shared" si="968"/>
        <v>49.390629741352555</v>
      </c>
      <c r="DB227" s="21">
        <f t="shared" si="969"/>
        <v>49.399900626198459</v>
      </c>
      <c r="DC227" s="79">
        <f t="shared" si="970"/>
        <v>40.715143820192637</v>
      </c>
      <c r="DD227" s="79">
        <f t="shared" si="970"/>
        <v>40.707502804622635</v>
      </c>
      <c r="DE227" s="79">
        <f t="shared" si="971"/>
        <v>3909.15826268</v>
      </c>
      <c r="DF227" s="79">
        <f t="shared" si="971"/>
        <v>0</v>
      </c>
      <c r="DG227" s="79">
        <f t="shared" si="874"/>
        <v>0</v>
      </c>
      <c r="DH227" s="51">
        <f t="shared" si="972"/>
        <v>3909.15826268</v>
      </c>
      <c r="DI227" s="39"/>
      <c r="DJ227" s="80">
        <f t="shared" si="973"/>
        <v>4912.4291552999994</v>
      </c>
      <c r="DK227" s="39">
        <f t="shared" si="974"/>
        <v>1403.6506244869499</v>
      </c>
      <c r="DL227" s="39">
        <f t="shared" si="975"/>
        <v>2947.8514622380999</v>
      </c>
      <c r="DM227" s="48"/>
      <c r="DN227" s="39"/>
      <c r="DO227" s="39"/>
      <c r="DP227" s="39"/>
      <c r="DQ227" s="39"/>
      <c r="DR227" s="39"/>
      <c r="DS227" s="39"/>
      <c r="DT227" s="39"/>
      <c r="DU227" s="19">
        <f t="shared" si="926"/>
        <v>0</v>
      </c>
      <c r="DV227" s="40">
        <f t="shared" si="912"/>
        <v>0</v>
      </c>
      <c r="DW227" s="40">
        <f t="shared" si="913"/>
        <v>0</v>
      </c>
      <c r="DX227" s="46"/>
      <c r="DY227" s="21">
        <f t="shared" si="914"/>
        <v>0</v>
      </c>
      <c r="DZ227" s="19">
        <f t="shared" si="915"/>
        <v>0</v>
      </c>
      <c r="EA227" s="19">
        <f t="shared" si="916"/>
        <v>0</v>
      </c>
      <c r="EB227" s="19"/>
      <c r="EC227" s="48">
        <f t="shared" si="988"/>
        <v>0</v>
      </c>
      <c r="ED227" s="48">
        <f t="shared" si="989"/>
        <v>0</v>
      </c>
      <c r="EE227" s="22"/>
      <c r="EF227" s="22"/>
      <c r="EG227" s="22">
        <f t="shared" si="917"/>
        <v>0</v>
      </c>
      <c r="EH227" s="22"/>
      <c r="EI227" s="22"/>
      <c r="EJ227" s="22">
        <f t="shared" si="918"/>
        <v>0</v>
      </c>
      <c r="EK227" s="40"/>
      <c r="EL227" s="19"/>
      <c r="EM227" s="19"/>
      <c r="EN227" s="40">
        <f t="shared" si="891"/>
        <v>0</v>
      </c>
      <c r="EO227" s="40">
        <f t="shared" si="892"/>
        <v>0</v>
      </c>
      <c r="EP227" s="40"/>
      <c r="EQ227" s="21">
        <f t="shared" si="888"/>
        <v>0</v>
      </c>
      <c r="ER227" s="21"/>
      <c r="ES227" s="21"/>
      <c r="ET227" s="21"/>
      <c r="EU227" s="19">
        <f t="shared" si="893"/>
        <v>0</v>
      </c>
      <c r="EV227" s="21"/>
      <c r="EW227" s="39"/>
      <c r="EX227" s="39">
        <f t="shared" si="882"/>
        <v>0</v>
      </c>
      <c r="EY227" s="39">
        <f t="shared" si="951"/>
        <v>0</v>
      </c>
      <c r="EZ227" s="39"/>
      <c r="FA227" s="39"/>
      <c r="FB227" s="39"/>
      <c r="FC227" s="39"/>
      <c r="FD227" s="39"/>
      <c r="FE227" s="39"/>
      <c r="FF227" s="39"/>
      <c r="FG227" s="39"/>
      <c r="FH227" s="39"/>
      <c r="FI227" s="39"/>
      <c r="FJ227" s="19">
        <f t="shared" si="894"/>
        <v>0</v>
      </c>
      <c r="FK227" s="19">
        <f t="shared" si="895"/>
        <v>0</v>
      </c>
      <c r="FL227" s="19">
        <f t="shared" si="896"/>
        <v>0</v>
      </c>
      <c r="FM227" s="19"/>
      <c r="FN227" s="19"/>
      <c r="FO227" s="22">
        <f t="shared" si="1002"/>
        <v>0</v>
      </c>
      <c r="FP227" s="22"/>
      <c r="FQ227" s="22"/>
      <c r="FR227" s="22">
        <f t="shared" si="931"/>
        <v>0</v>
      </c>
      <c r="FS227" s="22"/>
      <c r="FT227" s="22"/>
      <c r="FU227" s="40"/>
      <c r="FV227" s="19">
        <f t="shared" si="990"/>
        <v>0</v>
      </c>
      <c r="FW227" s="19">
        <f t="shared" si="991"/>
        <v>0</v>
      </c>
      <c r="FX227" s="19">
        <f t="shared" si="940"/>
        <v>0</v>
      </c>
      <c r="FY227" s="19">
        <f t="shared" si="941"/>
        <v>0</v>
      </c>
      <c r="FZ227" s="19">
        <f t="shared" si="942"/>
        <v>0</v>
      </c>
      <c r="GA227" s="19">
        <f t="shared" si="943"/>
        <v>0</v>
      </c>
      <c r="GB227" s="19">
        <f t="shared" si="944"/>
        <v>0</v>
      </c>
      <c r="GC227" s="20">
        <f t="shared" si="977"/>
        <v>0</v>
      </c>
      <c r="GD227" s="20">
        <f t="shared" si="945"/>
        <v>0</v>
      </c>
      <c r="GE227" s="21"/>
      <c r="GF227" s="21"/>
      <c r="GG227" s="21"/>
      <c r="GH227" s="21"/>
      <c r="GI227" s="21"/>
      <c r="GJ227" s="21"/>
      <c r="GK227" s="21"/>
      <c r="GL227" s="21"/>
      <c r="GM227" s="19"/>
      <c r="GN227" s="19"/>
      <c r="GO227" s="22"/>
      <c r="GP227" s="22"/>
      <c r="GQ227" s="22"/>
      <c r="GR227" s="22"/>
      <c r="GS227" s="22"/>
      <c r="GT227" s="22"/>
      <c r="GU227" s="43"/>
      <c r="GV227" s="19"/>
      <c r="GW227" s="19"/>
      <c r="GX227" s="19"/>
      <c r="GY227" s="19"/>
      <c r="GZ227" s="19"/>
      <c r="HA227" s="22"/>
      <c r="HB227" s="22"/>
      <c r="HC227" s="22"/>
      <c r="HD227" s="22"/>
      <c r="HE227" s="22"/>
      <c r="HF227" s="22"/>
      <c r="HG227" s="233"/>
    </row>
    <row r="228" spans="2:215" ht="15.6" hidden="1" customHeight="1">
      <c r="B228" s="10"/>
      <c r="C228" s="184" t="s">
        <v>368</v>
      </c>
      <c r="D228" s="73">
        <f t="shared" si="992"/>
        <v>108443.23</v>
      </c>
      <c r="E228" s="73">
        <f>+'[2]2012(объемы годовые)'!M238</f>
        <v>86458.559999999998</v>
      </c>
      <c r="F228" s="75">
        <f>+'[2]уровень платежа граждан 11-12 г'!M239</f>
        <v>47777.000255999999</v>
      </c>
      <c r="G228" s="75">
        <f>+'[2]уровень платежа граждан 11-12 г'!N239</f>
        <v>12890.971296</v>
      </c>
      <c r="H228" s="75">
        <f>+'[2]уровень платежа граждан 11-12 г'!O239</f>
        <v>25790.588447999999</v>
      </c>
      <c r="I228" s="73">
        <f>+'[2]2012(объемы годовые)'!Q238+'[2]2012(объемы годовые)'!U238+'[2]2012(объемы годовые)'!Y238</f>
        <v>21984.670000000002</v>
      </c>
      <c r="J228" s="73">
        <f>+'[2]уровень платежа граждан 11-12 г'!Q239+'[2]уровень платежа граждан 11-12 г'!U239+'[2]уровень платежа граждан 11-12 г'!Y239</f>
        <v>12148.728642</v>
      </c>
      <c r="K228" s="73">
        <f>+'[2]уровень платежа граждан 11-12 г'!R239+'[2]уровень платежа граждан 11-12 г'!V239+'[2]уровень платежа граждан 11-12 г'!Z239</f>
        <v>3277.9142969999998</v>
      </c>
      <c r="L228" s="73">
        <f>+'[2]уровень платежа граждан 11-12 г'!S239+'[2]уровень платежа граждан 11-12 г'!W239+'[2]уровень платежа граждан 11-12 г'!AA239</f>
        <v>6558.0270609999998</v>
      </c>
      <c r="M228" s="191">
        <f t="shared" si="1001"/>
        <v>43390.944000000003</v>
      </c>
      <c r="N228" s="191">
        <f t="shared" si="993"/>
        <v>30156.375000000004</v>
      </c>
      <c r="O228" s="74">
        <v>30156.375000000004</v>
      </c>
      <c r="P228" s="74">
        <v>0</v>
      </c>
      <c r="Q228" s="74">
        <v>0</v>
      </c>
      <c r="R228" s="191">
        <f t="shared" si="994"/>
        <v>13234.569000000001</v>
      </c>
      <c r="S228" s="74">
        <v>13234.569000000001</v>
      </c>
      <c r="T228" s="74">
        <v>0</v>
      </c>
      <c r="U228" s="74">
        <v>0</v>
      </c>
      <c r="V228" s="22">
        <v>249.3</v>
      </c>
      <c r="W228" s="22">
        <v>249.3</v>
      </c>
      <c r="X228" s="52">
        <f t="shared" si="927"/>
        <v>100</v>
      </c>
      <c r="Y228" s="22">
        <v>264.01</v>
      </c>
      <c r="Z228" s="22">
        <f t="shared" si="852"/>
        <v>105.90052146008824</v>
      </c>
      <c r="AA228" s="22">
        <v>276.99</v>
      </c>
      <c r="AB228" s="22">
        <f t="shared" si="853"/>
        <v>104.91648043634711</v>
      </c>
      <c r="AC228" s="22">
        <v>276.99</v>
      </c>
      <c r="AD228" s="22"/>
      <c r="AE228" s="22"/>
      <c r="AF228" s="22"/>
      <c r="AG228" s="22">
        <f t="shared" si="889"/>
        <v>0</v>
      </c>
      <c r="AH228" s="22">
        <v>99.07</v>
      </c>
      <c r="AI228" s="22">
        <v>99.07</v>
      </c>
      <c r="AJ228" s="52">
        <f t="shared" si="854"/>
        <v>100</v>
      </c>
      <c r="AK228" s="22">
        <v>104.91</v>
      </c>
      <c r="AL228" s="22">
        <f t="shared" si="855"/>
        <v>105.8948218431412</v>
      </c>
      <c r="AM228" s="22">
        <v>110.16</v>
      </c>
      <c r="AN228" s="22">
        <f t="shared" si="856"/>
        <v>105.00428939090649</v>
      </c>
      <c r="AO228" s="22">
        <f t="shared" si="928"/>
        <v>111.10709987966305</v>
      </c>
      <c r="AP228" s="22">
        <f t="shared" si="857"/>
        <v>111.19410517815686</v>
      </c>
      <c r="AQ228" s="22">
        <v>110.16</v>
      </c>
      <c r="AR228" s="22"/>
      <c r="AS228" s="22"/>
      <c r="AT228" s="22"/>
      <c r="AU228" s="22">
        <f t="shared" si="890"/>
        <v>0</v>
      </c>
      <c r="AV228" s="77"/>
      <c r="AW228" s="77">
        <f t="shared" si="995"/>
        <v>9.0933711567029718</v>
      </c>
      <c r="AX228" s="239"/>
      <c r="AY228" s="22">
        <f t="shared" si="898"/>
        <v>0</v>
      </c>
      <c r="AZ228" s="22"/>
      <c r="BA228" s="22"/>
      <c r="BB228" s="22"/>
      <c r="BC228" s="22"/>
      <c r="BD228" s="22"/>
      <c r="BE228" s="22">
        <f t="shared" si="924"/>
        <v>0</v>
      </c>
      <c r="BF228" s="22"/>
      <c r="BG228" s="22"/>
      <c r="BH228" s="22">
        <f t="shared" si="925"/>
        <v>0</v>
      </c>
      <c r="BI228" s="22"/>
      <c r="BJ228" s="40"/>
      <c r="BK228" s="19">
        <f t="shared" si="979"/>
        <v>27034.692083094917</v>
      </c>
      <c r="BL228" s="19">
        <f t="shared" si="1003"/>
        <v>7258.8555416949139</v>
      </c>
      <c r="BM228" s="19">
        <f t="shared" si="1004"/>
        <v>14295.058310400002</v>
      </c>
      <c r="BN228" s="19">
        <f t="shared" si="1005"/>
        <v>5480.7782310000002</v>
      </c>
      <c r="BO228" s="19">
        <f t="shared" si="980"/>
        <v>28629.818726428814</v>
      </c>
      <c r="BP228" s="19">
        <f t="shared" si="1006"/>
        <v>7686.7521437288142</v>
      </c>
      <c r="BQ228" s="19">
        <f t="shared" si="872"/>
        <v>15138.893855999999</v>
      </c>
      <c r="BR228" s="19">
        <f t="shared" si="1007"/>
        <v>5804.1727267000006</v>
      </c>
      <c r="BS228" s="19">
        <f t="shared" si="981"/>
        <v>30037.338581862714</v>
      </c>
      <c r="BT228" s="19">
        <f t="shared" si="1008"/>
        <v>8071.4194657627113</v>
      </c>
      <c r="BU228" s="19">
        <f t="shared" si="873"/>
        <v>15876.385372799999</v>
      </c>
      <c r="BV228" s="19">
        <f t="shared" si="1009"/>
        <v>6089.5337433000013</v>
      </c>
      <c r="BW228" s="19">
        <f t="shared" si="982"/>
        <v>6009.3674542799999</v>
      </c>
      <c r="BX228" s="19">
        <f t="shared" si="996"/>
        <v>1407.63825</v>
      </c>
      <c r="BY228" s="19">
        <f t="shared" si="997"/>
        <v>2768.8075706250002</v>
      </c>
      <c r="BZ228" s="19">
        <f t="shared" si="998"/>
        <v>1832.9216336550003</v>
      </c>
      <c r="CA228" s="19">
        <f t="shared" si="983"/>
        <v>0</v>
      </c>
      <c r="CB228" s="19">
        <f t="shared" si="984"/>
        <v>0</v>
      </c>
      <c r="CC228" s="19">
        <f t="shared" si="985"/>
        <v>0</v>
      </c>
      <c r="CD228" s="19">
        <f t="shared" si="906"/>
        <v>0</v>
      </c>
      <c r="CE228" s="48">
        <f t="shared" si="952"/>
        <v>414.12593269943284</v>
      </c>
      <c r="CF228" s="48">
        <f t="shared" si="953"/>
        <v>264.01000000000005</v>
      </c>
      <c r="CG228" s="48">
        <f t="shared" si="954"/>
        <v>276.99</v>
      </c>
      <c r="CH228" s="48">
        <f t="shared" si="955"/>
        <v>99.069999999999979</v>
      </c>
      <c r="CI228" s="48">
        <f t="shared" si="956"/>
        <v>104.91</v>
      </c>
      <c r="CJ228" s="48">
        <f t="shared" si="957"/>
        <v>110.15999999999998</v>
      </c>
      <c r="CK228" s="48">
        <f t="shared" si="958"/>
        <v>249.29810817231208</v>
      </c>
      <c r="CL228" s="48">
        <f t="shared" si="959"/>
        <v>264.00743251956635</v>
      </c>
      <c r="CM228" s="48">
        <f t="shared" si="960"/>
        <v>276.98675686682066</v>
      </c>
      <c r="CN228" s="48">
        <f t="shared" si="929"/>
        <v>263.43076585289964</v>
      </c>
      <c r="CO228" s="48">
        <f t="shared" si="961"/>
        <v>138.495</v>
      </c>
      <c r="CP228" s="48">
        <f t="shared" si="962"/>
        <v>0</v>
      </c>
      <c r="CQ228" s="48">
        <f t="shared" si="963"/>
        <v>55.079999999999991</v>
      </c>
      <c r="CR228" s="48">
        <f t="shared" si="964"/>
        <v>0</v>
      </c>
      <c r="CS228" s="48">
        <f t="shared" si="965"/>
        <v>138.49358645619694</v>
      </c>
      <c r="CT228" s="48">
        <f t="shared" si="966"/>
        <v>0</v>
      </c>
      <c r="CU228" s="48">
        <f t="shared" si="930"/>
        <v>69.246793228098468</v>
      </c>
      <c r="CV228" s="48">
        <f t="shared" si="967"/>
        <v>26.286524660056614</v>
      </c>
      <c r="CW228" s="19">
        <f t="shared" si="986"/>
        <v>7565.0427436075925</v>
      </c>
      <c r="CX228" s="19">
        <f t="shared" si="987"/>
        <v>22457.88658988928</v>
      </c>
      <c r="CY228" s="19">
        <f t="shared" si="999"/>
        <v>2815.2765000000004</v>
      </c>
      <c r="CZ228" s="19">
        <f t="shared" si="1000"/>
        <v>8353.0143112500009</v>
      </c>
      <c r="DA228" s="21">
        <f t="shared" si="968"/>
        <v>33.685461511830034</v>
      </c>
      <c r="DB228" s="21">
        <f t="shared" si="969"/>
        <v>33.70371934127219</v>
      </c>
      <c r="DC228" s="79">
        <f t="shared" si="970"/>
        <v>37.214284114638865</v>
      </c>
      <c r="DD228" s="79">
        <f t="shared" si="970"/>
        <v>37.194124557609058</v>
      </c>
      <c r="DE228" s="79">
        <f t="shared" si="971"/>
        <v>12018.857578560002</v>
      </c>
      <c r="DF228" s="79">
        <f t="shared" si="971"/>
        <v>0</v>
      </c>
      <c r="DG228" s="79">
        <f t="shared" si="874"/>
        <v>0</v>
      </c>
      <c r="DH228" s="51">
        <f t="shared" si="972"/>
        <v>12018.857578560002</v>
      </c>
      <c r="DI228" s="39"/>
      <c r="DJ228" s="80">
        <f t="shared" si="973"/>
        <v>14939.484214271401</v>
      </c>
      <c r="DK228" s="39">
        <f t="shared" si="974"/>
        <v>4268.7474854079301</v>
      </c>
      <c r="DL228" s="39">
        <f t="shared" si="975"/>
        <v>8960.24300983791</v>
      </c>
      <c r="DM228" s="48"/>
      <c r="DN228" s="39"/>
      <c r="DO228" s="39"/>
      <c r="DP228" s="39"/>
      <c r="DQ228" s="39"/>
      <c r="DR228" s="39"/>
      <c r="DS228" s="39"/>
      <c r="DT228" s="39"/>
      <c r="DU228" s="19">
        <f t="shared" si="926"/>
        <v>0</v>
      </c>
      <c r="DV228" s="40">
        <f t="shared" si="912"/>
        <v>0</v>
      </c>
      <c r="DW228" s="40">
        <f t="shared" si="913"/>
        <v>0</v>
      </c>
      <c r="DX228" s="46"/>
      <c r="DY228" s="21">
        <f t="shared" si="914"/>
        <v>0</v>
      </c>
      <c r="DZ228" s="19">
        <f t="shared" si="915"/>
        <v>0</v>
      </c>
      <c r="EA228" s="19">
        <f t="shared" si="916"/>
        <v>0</v>
      </c>
      <c r="EB228" s="19"/>
      <c r="EC228" s="48">
        <f t="shared" si="988"/>
        <v>0</v>
      </c>
      <c r="ED228" s="48">
        <f t="shared" si="989"/>
        <v>0</v>
      </c>
      <c r="EE228" s="22"/>
      <c r="EF228" s="22"/>
      <c r="EG228" s="22">
        <f t="shared" si="917"/>
        <v>0</v>
      </c>
      <c r="EH228" s="22"/>
      <c r="EI228" s="22"/>
      <c r="EJ228" s="22">
        <f t="shared" si="918"/>
        <v>0</v>
      </c>
      <c r="EK228" s="40"/>
      <c r="EL228" s="19"/>
      <c r="EM228" s="19"/>
      <c r="EN228" s="40">
        <f t="shared" si="891"/>
        <v>0</v>
      </c>
      <c r="EO228" s="40">
        <f t="shared" si="892"/>
        <v>0</v>
      </c>
      <c r="EP228" s="40"/>
      <c r="EQ228" s="21">
        <f t="shared" si="888"/>
        <v>0</v>
      </c>
      <c r="ER228" s="21"/>
      <c r="ES228" s="21"/>
      <c r="ET228" s="21"/>
      <c r="EU228" s="19">
        <f t="shared" si="893"/>
        <v>0</v>
      </c>
      <c r="EV228" s="21"/>
      <c r="EW228" s="39"/>
      <c r="EX228" s="39">
        <f t="shared" si="882"/>
        <v>0</v>
      </c>
      <c r="EY228" s="39">
        <f t="shared" si="951"/>
        <v>0</v>
      </c>
      <c r="EZ228" s="39"/>
      <c r="FA228" s="39"/>
      <c r="FB228" s="39"/>
      <c r="FC228" s="39"/>
      <c r="FD228" s="39"/>
      <c r="FE228" s="39"/>
      <c r="FF228" s="39"/>
      <c r="FG228" s="39"/>
      <c r="FH228" s="39"/>
      <c r="FI228" s="39"/>
      <c r="FJ228" s="19">
        <f t="shared" si="894"/>
        <v>0</v>
      </c>
      <c r="FK228" s="19">
        <f t="shared" si="895"/>
        <v>0</v>
      </c>
      <c r="FL228" s="19">
        <f t="shared" si="896"/>
        <v>0</v>
      </c>
      <c r="FM228" s="19"/>
      <c r="FN228" s="19"/>
      <c r="FO228" s="22">
        <f t="shared" si="1002"/>
        <v>0</v>
      </c>
      <c r="FP228" s="22"/>
      <c r="FQ228" s="22"/>
      <c r="FR228" s="22">
        <f t="shared" si="931"/>
        <v>0</v>
      </c>
      <c r="FS228" s="22"/>
      <c r="FT228" s="22"/>
      <c r="FU228" s="40"/>
      <c r="FV228" s="19">
        <f t="shared" si="990"/>
        <v>0</v>
      </c>
      <c r="FW228" s="19">
        <f t="shared" si="991"/>
        <v>0</v>
      </c>
      <c r="FX228" s="19">
        <f t="shared" si="940"/>
        <v>0</v>
      </c>
      <c r="FY228" s="19">
        <f t="shared" si="941"/>
        <v>0</v>
      </c>
      <c r="FZ228" s="19">
        <f t="shared" si="942"/>
        <v>0</v>
      </c>
      <c r="GA228" s="19">
        <f t="shared" si="943"/>
        <v>0</v>
      </c>
      <c r="GB228" s="19">
        <f t="shared" si="944"/>
        <v>0</v>
      </c>
      <c r="GC228" s="20">
        <f t="shared" si="977"/>
        <v>0</v>
      </c>
      <c r="GD228" s="20">
        <f t="shared" si="945"/>
        <v>0</v>
      </c>
      <c r="GE228" s="21"/>
      <c r="GF228" s="21"/>
      <c r="GG228" s="21"/>
      <c r="GH228" s="21"/>
      <c r="GI228" s="21"/>
      <c r="GJ228" s="21"/>
      <c r="GK228" s="21"/>
      <c r="GL228" s="21"/>
      <c r="GM228" s="19"/>
      <c r="GN228" s="19"/>
      <c r="GO228" s="22"/>
      <c r="GP228" s="22"/>
      <c r="GQ228" s="22"/>
      <c r="GR228" s="22"/>
      <c r="GS228" s="22"/>
      <c r="GT228" s="22"/>
      <c r="GU228" s="43"/>
      <c r="GV228" s="19"/>
      <c r="GW228" s="19"/>
      <c r="GX228" s="19"/>
      <c r="GY228" s="19"/>
      <c r="GZ228" s="19"/>
      <c r="HA228" s="22"/>
      <c r="HB228" s="22"/>
      <c r="HC228" s="22"/>
      <c r="HD228" s="22"/>
      <c r="HE228" s="22"/>
      <c r="HF228" s="22"/>
      <c r="HG228" s="233"/>
    </row>
    <row r="229" spans="2:215" ht="15.6" hidden="1" customHeight="1">
      <c r="B229" s="10"/>
      <c r="C229" s="184" t="s">
        <v>249</v>
      </c>
      <c r="D229" s="73"/>
      <c r="E229" s="73"/>
      <c r="F229" s="75"/>
      <c r="G229" s="75"/>
      <c r="H229" s="75"/>
      <c r="I229" s="73"/>
      <c r="J229" s="73"/>
      <c r="K229" s="73"/>
      <c r="L229" s="73"/>
      <c r="M229" s="143">
        <f t="shared" si="1001"/>
        <v>407084.12</v>
      </c>
      <c r="N229" s="191">
        <f t="shared" si="993"/>
        <v>260756.91333333333</v>
      </c>
      <c r="O229" s="74">
        <v>106460.87166666666</v>
      </c>
      <c r="P229" s="74">
        <v>22042.291666666668</v>
      </c>
      <c r="Q229" s="74">
        <v>132253.75</v>
      </c>
      <c r="R229" s="191">
        <f t="shared" si="994"/>
        <v>146327.20666666667</v>
      </c>
      <c r="S229" s="74">
        <v>60970.466666666653</v>
      </c>
      <c r="T229" s="74">
        <v>12193.820000000005</v>
      </c>
      <c r="U229" s="74">
        <v>73162.920000000013</v>
      </c>
      <c r="V229" s="22"/>
      <c r="W229" s="22"/>
      <c r="X229" s="52"/>
      <c r="Y229" s="22"/>
      <c r="Z229" s="22"/>
      <c r="AA229" s="22"/>
      <c r="AB229" s="22"/>
      <c r="AC229" s="22">
        <v>40.47</v>
      </c>
      <c r="AD229" s="22"/>
      <c r="AE229" s="22"/>
      <c r="AF229" s="22"/>
      <c r="AG229" s="22">
        <f t="shared" si="889"/>
        <v>0</v>
      </c>
      <c r="AH229" s="22"/>
      <c r="AI229" s="22"/>
      <c r="AJ229" s="52"/>
      <c r="AK229" s="22"/>
      <c r="AL229" s="22"/>
      <c r="AM229" s="22"/>
      <c r="AN229" s="22"/>
      <c r="AO229" s="22"/>
      <c r="AP229" s="22"/>
      <c r="AQ229" s="22">
        <v>24.65</v>
      </c>
      <c r="AR229" s="22"/>
      <c r="AS229" s="22"/>
      <c r="AT229" s="22"/>
      <c r="AU229" s="22">
        <f t="shared" si="890"/>
        <v>0</v>
      </c>
      <c r="AV229" s="77"/>
      <c r="AW229" s="77"/>
      <c r="AX229" s="239"/>
      <c r="AY229" s="22">
        <f t="shared" si="898"/>
        <v>0</v>
      </c>
      <c r="AZ229" s="22"/>
      <c r="BA229" s="22"/>
      <c r="BB229" s="22"/>
      <c r="BC229" s="22"/>
      <c r="BD229" s="22"/>
      <c r="BE229" s="22">
        <f t="shared" si="924"/>
        <v>0</v>
      </c>
      <c r="BF229" s="22"/>
      <c r="BG229" s="22"/>
      <c r="BH229" s="22">
        <f t="shared" si="925"/>
        <v>0</v>
      </c>
      <c r="BI229" s="22"/>
      <c r="BJ229" s="40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>
        <f t="shared" si="982"/>
        <v>8237.3250701564975</v>
      </c>
      <c r="BX229" s="19">
        <f t="shared" si="996"/>
        <v>2723.5838617231643</v>
      </c>
      <c r="BY229" s="19">
        <f t="shared" si="997"/>
        <v>2552.810181533333</v>
      </c>
      <c r="BZ229" s="19">
        <f t="shared" si="998"/>
        <v>2960.9310268999998</v>
      </c>
      <c r="CA229" s="19">
        <f t="shared" si="983"/>
        <v>0</v>
      </c>
      <c r="CB229" s="19">
        <f t="shared" si="984"/>
        <v>0</v>
      </c>
      <c r="CC229" s="19">
        <f t="shared" si="985"/>
        <v>0</v>
      </c>
      <c r="CD229" s="19">
        <f t="shared" si="906"/>
        <v>0</v>
      </c>
      <c r="CE229" s="48"/>
      <c r="CF229" s="48"/>
      <c r="CG229" s="48"/>
      <c r="CH229" s="48"/>
      <c r="CI229" s="48"/>
      <c r="CJ229" s="48"/>
      <c r="CK229" s="48"/>
      <c r="CL229" s="48"/>
      <c r="CM229" s="48"/>
      <c r="CN229" s="48"/>
      <c r="CO229" s="48"/>
      <c r="CP229" s="48"/>
      <c r="CQ229" s="48"/>
      <c r="CR229" s="48"/>
      <c r="CS229" s="48"/>
      <c r="CT229" s="48"/>
      <c r="CU229" s="48"/>
      <c r="CV229" s="48"/>
      <c r="CW229" s="19">
        <f t="shared" si="986"/>
        <v>0</v>
      </c>
      <c r="CX229" s="19">
        <f t="shared" si="987"/>
        <v>0</v>
      </c>
      <c r="CY229" s="19">
        <f t="shared" si="999"/>
        <v>2223.9495649011296</v>
      </c>
      <c r="CZ229" s="19">
        <f t="shared" si="1000"/>
        <v>4308.4714763499996</v>
      </c>
      <c r="DA229" s="21">
        <f t="shared" si="968"/>
        <v>0</v>
      </c>
      <c r="DB229" s="21">
        <f t="shared" si="969"/>
        <v>51.618064018963615</v>
      </c>
      <c r="DC229" s="79"/>
      <c r="DD229" s="79"/>
      <c r="DE229" s="79">
        <f t="shared" si="971"/>
        <v>6775.9462623499994</v>
      </c>
      <c r="DF229" s="79">
        <f t="shared" si="971"/>
        <v>0</v>
      </c>
      <c r="DG229" s="79">
        <f t="shared" si="874"/>
        <v>0</v>
      </c>
      <c r="DH229" s="51">
        <f t="shared" si="972"/>
        <v>6775.9462623499994</v>
      </c>
      <c r="DI229" s="39"/>
      <c r="DJ229" s="80"/>
      <c r="DK229" s="39"/>
      <c r="DL229" s="39"/>
      <c r="DM229" s="48"/>
      <c r="DN229" s="39"/>
      <c r="DO229" s="39"/>
      <c r="DP229" s="39"/>
      <c r="DQ229" s="39"/>
      <c r="DR229" s="39"/>
      <c r="DS229" s="39"/>
      <c r="DT229" s="39"/>
      <c r="DU229" s="19">
        <f t="shared" si="926"/>
        <v>0</v>
      </c>
      <c r="DV229" s="40">
        <f t="shared" si="912"/>
        <v>0</v>
      </c>
      <c r="DW229" s="40">
        <f t="shared" si="913"/>
        <v>0</v>
      </c>
      <c r="DX229" s="46"/>
      <c r="DY229" s="21">
        <f t="shared" si="914"/>
        <v>0</v>
      </c>
      <c r="DZ229" s="19">
        <f t="shared" si="915"/>
        <v>0</v>
      </c>
      <c r="EA229" s="19">
        <f t="shared" si="916"/>
        <v>0</v>
      </c>
      <c r="EB229" s="19"/>
      <c r="EC229" s="48">
        <f t="shared" si="988"/>
        <v>0</v>
      </c>
      <c r="ED229" s="48">
        <f t="shared" si="989"/>
        <v>0</v>
      </c>
      <c r="EE229" s="22"/>
      <c r="EF229" s="22"/>
      <c r="EG229" s="22">
        <f t="shared" si="917"/>
        <v>0</v>
      </c>
      <c r="EH229" s="22"/>
      <c r="EI229" s="22"/>
      <c r="EJ229" s="22">
        <f t="shared" si="918"/>
        <v>0</v>
      </c>
      <c r="EK229" s="40"/>
      <c r="EL229" s="19"/>
      <c r="EM229" s="19"/>
      <c r="EN229" s="40">
        <f t="shared" si="891"/>
        <v>0</v>
      </c>
      <c r="EO229" s="40">
        <f t="shared" si="892"/>
        <v>0</v>
      </c>
      <c r="EP229" s="40"/>
      <c r="EQ229" s="21">
        <f t="shared" si="888"/>
        <v>0</v>
      </c>
      <c r="ER229" s="21"/>
      <c r="ES229" s="21"/>
      <c r="ET229" s="21"/>
      <c r="EU229" s="19">
        <f t="shared" si="893"/>
        <v>0</v>
      </c>
      <c r="EV229" s="21"/>
      <c r="EW229" s="39"/>
      <c r="EX229" s="39">
        <f t="shared" si="882"/>
        <v>0</v>
      </c>
      <c r="EY229" s="39">
        <f t="shared" si="951"/>
        <v>0</v>
      </c>
      <c r="EZ229" s="39"/>
      <c r="FA229" s="39"/>
      <c r="FB229" s="39"/>
      <c r="FC229" s="39"/>
      <c r="FD229" s="39"/>
      <c r="FE229" s="39"/>
      <c r="FF229" s="39"/>
      <c r="FG229" s="39"/>
      <c r="FH229" s="39"/>
      <c r="FI229" s="39"/>
      <c r="FJ229" s="19">
        <f t="shared" si="894"/>
        <v>0</v>
      </c>
      <c r="FK229" s="19">
        <f t="shared" si="895"/>
        <v>0</v>
      </c>
      <c r="FL229" s="19">
        <f t="shared" si="896"/>
        <v>0</v>
      </c>
      <c r="FM229" s="19"/>
      <c r="FN229" s="19"/>
      <c r="FO229" s="22">
        <f t="shared" si="1002"/>
        <v>0</v>
      </c>
      <c r="FP229" s="22"/>
      <c r="FQ229" s="22"/>
      <c r="FR229" s="22">
        <f t="shared" si="931"/>
        <v>0</v>
      </c>
      <c r="FS229" s="22"/>
      <c r="FT229" s="22"/>
      <c r="FU229" s="40"/>
      <c r="FV229" s="19">
        <f t="shared" si="990"/>
        <v>0</v>
      </c>
      <c r="FW229" s="19">
        <f t="shared" si="991"/>
        <v>0</v>
      </c>
      <c r="FX229" s="19">
        <f t="shared" si="940"/>
        <v>0</v>
      </c>
      <c r="FY229" s="19">
        <f t="shared" si="941"/>
        <v>0</v>
      </c>
      <c r="FZ229" s="19">
        <f t="shared" si="942"/>
        <v>0</v>
      </c>
      <c r="GA229" s="19">
        <f t="shared" si="943"/>
        <v>0</v>
      </c>
      <c r="GB229" s="19">
        <f t="shared" si="944"/>
        <v>0</v>
      </c>
      <c r="GC229" s="20">
        <f t="shared" si="977"/>
        <v>0</v>
      </c>
      <c r="GD229" s="20">
        <f t="shared" si="945"/>
        <v>0</v>
      </c>
      <c r="GE229" s="21"/>
      <c r="GF229" s="21"/>
      <c r="GG229" s="21"/>
      <c r="GH229" s="21"/>
      <c r="GI229" s="21"/>
      <c r="GJ229" s="21"/>
      <c r="GK229" s="21"/>
      <c r="GL229" s="21"/>
      <c r="GM229" s="19"/>
      <c r="GN229" s="19"/>
      <c r="GO229" s="22"/>
      <c r="GP229" s="22"/>
      <c r="GQ229" s="22"/>
      <c r="GR229" s="22"/>
      <c r="GS229" s="22"/>
      <c r="GT229" s="22"/>
      <c r="GU229" s="43"/>
      <c r="GV229" s="19"/>
      <c r="GW229" s="19"/>
      <c r="GX229" s="19"/>
      <c r="GY229" s="19"/>
      <c r="GZ229" s="19"/>
      <c r="HA229" s="22"/>
      <c r="HB229" s="22"/>
      <c r="HC229" s="22"/>
      <c r="HD229" s="22"/>
      <c r="HE229" s="22"/>
      <c r="HF229" s="22"/>
      <c r="HG229" s="233"/>
    </row>
    <row r="230" spans="2:215" ht="15.6" hidden="1" customHeight="1">
      <c r="B230" s="10"/>
      <c r="C230" s="184" t="s">
        <v>134</v>
      </c>
      <c r="D230" s="73">
        <f t="shared" si="992"/>
        <v>490143.99999999994</v>
      </c>
      <c r="E230" s="73">
        <f>+'[2]2012(объемы годовые)'!M239</f>
        <v>310847.09999999998</v>
      </c>
      <c r="F230" s="74" t="e">
        <f>+E230*#REF!</f>
        <v>#REF!</v>
      </c>
      <c r="G230" s="74" t="e">
        <f>+E230*#REF!</f>
        <v>#REF!</v>
      </c>
      <c r="H230" s="74" t="e">
        <f>+E230*#REF!</f>
        <v>#REF!</v>
      </c>
      <c r="I230" s="73">
        <f>+'[2]2012(объемы годовые)'!Q239+'[2]2012(объемы годовые)'!U239+'[2]2012(объемы годовые)'!Y239</f>
        <v>179296.89999999997</v>
      </c>
      <c r="J230" s="74" t="e">
        <f>+I230*#REF!</f>
        <v>#REF!</v>
      </c>
      <c r="K230" s="74" t="e">
        <f>+I230*#REF!</f>
        <v>#REF!</v>
      </c>
      <c r="L230" s="74" t="e">
        <f>+I230*#REF!</f>
        <v>#REF!</v>
      </c>
      <c r="M230" s="191">
        <f t="shared" si="1001"/>
        <v>10528.745833333334</v>
      </c>
      <c r="N230" s="191">
        <f t="shared" si="993"/>
        <v>0</v>
      </c>
      <c r="O230" s="74">
        <v>0</v>
      </c>
      <c r="P230" s="74">
        <v>0</v>
      </c>
      <c r="Q230" s="74">
        <v>0</v>
      </c>
      <c r="R230" s="191">
        <f t="shared" si="994"/>
        <v>10528.745833333334</v>
      </c>
      <c r="S230" s="74">
        <v>4388.6958333333341</v>
      </c>
      <c r="T230" s="74">
        <v>877.15</v>
      </c>
      <c r="U230" s="74">
        <v>5262.9000000000005</v>
      </c>
      <c r="V230" s="22">
        <v>19.41</v>
      </c>
      <c r="W230" s="22">
        <v>19.41</v>
      </c>
      <c r="X230" s="52">
        <f t="shared" si="927"/>
        <v>100</v>
      </c>
      <c r="Y230" s="22">
        <v>20.56</v>
      </c>
      <c r="Z230" s="22">
        <f t="shared" si="852"/>
        <v>105.92478104070067</v>
      </c>
      <c r="AA230" s="22">
        <v>21.69</v>
      </c>
      <c r="AB230" s="22">
        <f t="shared" si="853"/>
        <v>105.49610894941634</v>
      </c>
      <c r="AC230" s="22">
        <v>21.69</v>
      </c>
      <c r="AD230" s="22"/>
      <c r="AE230" s="22"/>
      <c r="AF230" s="22"/>
      <c r="AG230" s="22">
        <f t="shared" si="889"/>
        <v>0</v>
      </c>
      <c r="AH230" s="22">
        <v>11.82</v>
      </c>
      <c r="AI230" s="22">
        <v>11.82</v>
      </c>
      <c r="AJ230" s="52">
        <f t="shared" si="854"/>
        <v>100</v>
      </c>
      <c r="AK230" s="22">
        <v>12.52</v>
      </c>
      <c r="AL230" s="22">
        <f t="shared" si="855"/>
        <v>105.92216582064297</v>
      </c>
      <c r="AM230" s="22">
        <v>13.2</v>
      </c>
      <c r="AN230" s="22">
        <f t="shared" si="856"/>
        <v>105.43130990415335</v>
      </c>
      <c r="AO230" s="22">
        <f t="shared" si="928"/>
        <v>111.74652241112828</v>
      </c>
      <c r="AP230" s="22">
        <f t="shared" si="857"/>
        <v>111.67512690355331</v>
      </c>
      <c r="AQ230" s="22">
        <v>13.2</v>
      </c>
      <c r="AR230" s="22"/>
      <c r="AS230" s="22"/>
      <c r="AT230" s="22"/>
      <c r="AU230" s="22">
        <f t="shared" si="890"/>
        <v>0</v>
      </c>
      <c r="AV230" s="77"/>
      <c r="AW230" s="77">
        <f>+CY230/$CY$220*100</f>
        <v>0</v>
      </c>
      <c r="AX230" s="239"/>
      <c r="AY230" s="22">
        <f t="shared" si="898"/>
        <v>0</v>
      </c>
      <c r="AZ230" s="22"/>
      <c r="BA230" s="22"/>
      <c r="BB230" s="22"/>
      <c r="BC230" s="22"/>
      <c r="BD230" s="22"/>
      <c r="BE230" s="22">
        <f t="shared" si="924"/>
        <v>0</v>
      </c>
      <c r="BF230" s="22"/>
      <c r="BG230" s="22"/>
      <c r="BH230" s="22">
        <f t="shared" si="925"/>
        <v>0</v>
      </c>
      <c r="BI230" s="22"/>
      <c r="BJ230" s="40"/>
      <c r="BK230" s="19">
        <f t="shared" si="979"/>
        <v>9512.7466929152542</v>
      </c>
      <c r="BL230" s="19">
        <f t="shared" si="1003"/>
        <v>3113.7395949152542</v>
      </c>
      <c r="BM230" s="19">
        <f t="shared" si="1004"/>
        <v>2918.8542689999999</v>
      </c>
      <c r="BN230" s="19">
        <f t="shared" si="1005"/>
        <v>3480.1528289999997</v>
      </c>
      <c r="BO230" s="19">
        <f t="shared" si="980"/>
        <v>10077.413325949152</v>
      </c>
      <c r="BP230" s="19">
        <f t="shared" si="1006"/>
        <v>3298.1404169491525</v>
      </c>
      <c r="BQ230" s="19">
        <f t="shared" si="872"/>
        <v>3092.9286449999995</v>
      </c>
      <c r="BR230" s="19">
        <f t="shared" si="1007"/>
        <v>3686.3442639999989</v>
      </c>
      <c r="BS230" s="19">
        <f t="shared" si="981"/>
        <v>10630.116955067797</v>
      </c>
      <c r="BT230" s="19">
        <f t="shared" si="1008"/>
        <v>3477.2726440677966</v>
      </c>
      <c r="BU230" s="19">
        <f t="shared" si="873"/>
        <v>3263.8945500000004</v>
      </c>
      <c r="BV230" s="19">
        <f t="shared" si="1009"/>
        <v>3888.9497609999994</v>
      </c>
      <c r="BW230" s="19">
        <f t="shared" si="982"/>
        <v>114.18424856250002</v>
      </c>
      <c r="BX230" s="19">
        <f t="shared" si="996"/>
        <v>0</v>
      </c>
      <c r="BY230" s="19">
        <f t="shared" si="997"/>
        <v>0</v>
      </c>
      <c r="BZ230" s="19">
        <f t="shared" si="998"/>
        <v>114.18424856250002</v>
      </c>
      <c r="CA230" s="19">
        <f t="shared" si="983"/>
        <v>0</v>
      </c>
      <c r="CB230" s="19">
        <f t="shared" si="984"/>
        <v>0</v>
      </c>
      <c r="CC230" s="19">
        <f t="shared" si="985"/>
        <v>0</v>
      </c>
      <c r="CD230" s="19">
        <f t="shared" si="906"/>
        <v>0</v>
      </c>
      <c r="CE230" s="48">
        <f t="shared" si="952"/>
        <v>330.53821263137144</v>
      </c>
      <c r="CF230" s="48">
        <f t="shared" si="953"/>
        <v>20.56</v>
      </c>
      <c r="CG230" s="48">
        <f t="shared" si="954"/>
        <v>21.69</v>
      </c>
      <c r="CH230" s="48">
        <f t="shared" si="955"/>
        <v>11.82</v>
      </c>
      <c r="CI230" s="48">
        <f t="shared" si="956"/>
        <v>12.52</v>
      </c>
      <c r="CJ230" s="48">
        <f t="shared" si="957"/>
        <v>13.2</v>
      </c>
      <c r="CK230" s="48">
        <f t="shared" si="958"/>
        <v>19.408065166390397</v>
      </c>
      <c r="CL230" s="48">
        <f t="shared" si="959"/>
        <v>20.560107490756089</v>
      </c>
      <c r="CM230" s="48">
        <f t="shared" si="960"/>
        <v>21.687742694122132</v>
      </c>
      <c r="CN230" s="48">
        <f t="shared" si="929"/>
        <v>20.551971783756208</v>
      </c>
      <c r="CO230" s="48">
        <f t="shared" si="961"/>
        <v>10.845000000000001</v>
      </c>
      <c r="CP230" s="48">
        <f t="shared" si="962"/>
        <v>0</v>
      </c>
      <c r="CQ230" s="48">
        <f t="shared" si="963"/>
        <v>0</v>
      </c>
      <c r="CR230" s="48">
        <f t="shared" si="964"/>
        <v>0</v>
      </c>
      <c r="CS230" s="48">
        <f t="shared" si="965"/>
        <v>10.845000000000001</v>
      </c>
      <c r="CT230" s="48">
        <f t="shared" si="966"/>
        <v>0</v>
      </c>
      <c r="CU230" s="48">
        <f t="shared" si="930"/>
        <v>5.4225000000000003</v>
      </c>
      <c r="CV230" s="48">
        <f t="shared" si="967"/>
        <v>26.38432972297975</v>
      </c>
      <c r="CW230" s="19" t="e">
        <f t="shared" si="986"/>
        <v>#REF!</v>
      </c>
      <c r="CX230" s="19" t="e">
        <f t="shared" si="987"/>
        <v>#REF!</v>
      </c>
      <c r="CY230" s="19">
        <f t="shared" si="999"/>
        <v>0</v>
      </c>
      <c r="CZ230" s="19">
        <f t="shared" si="1000"/>
        <v>0</v>
      </c>
      <c r="DA230" s="21" t="e">
        <f t="shared" si="968"/>
        <v>#REF!</v>
      </c>
      <c r="DB230" s="21">
        <f t="shared" si="969"/>
        <v>0</v>
      </c>
      <c r="DC230" s="79" t="e">
        <f t="shared" si="970"/>
        <v>#REF!</v>
      </c>
      <c r="DD230" s="79" t="e">
        <f t="shared" si="970"/>
        <v>#REF!</v>
      </c>
      <c r="DE230" s="79">
        <f t="shared" si="971"/>
        <v>95.190812625000021</v>
      </c>
      <c r="DF230" s="79">
        <f t="shared" si="971"/>
        <v>0</v>
      </c>
      <c r="DG230" s="79">
        <f t="shared" si="874"/>
        <v>0</v>
      </c>
      <c r="DH230" s="51">
        <f t="shared" si="972"/>
        <v>95.190812625000021</v>
      </c>
      <c r="DI230" s="39"/>
      <c r="DJ230" s="80" t="e">
        <f t="shared" si="973"/>
        <v>#REF!</v>
      </c>
      <c r="DK230" s="39" t="e">
        <f t="shared" si="974"/>
        <v>#REF!</v>
      </c>
      <c r="DL230" s="39" t="e">
        <f t="shared" si="975"/>
        <v>#REF!</v>
      </c>
      <c r="DM230" s="48"/>
      <c r="DN230" s="39"/>
      <c r="DO230" s="39"/>
      <c r="DP230" s="39"/>
      <c r="DQ230" s="39"/>
      <c r="DR230" s="39"/>
      <c r="DS230" s="39"/>
      <c r="DT230" s="39"/>
      <c r="DU230" s="19">
        <f t="shared" si="926"/>
        <v>0</v>
      </c>
      <c r="DV230" s="40">
        <f t="shared" si="912"/>
        <v>0</v>
      </c>
      <c r="DW230" s="40">
        <f t="shared" si="913"/>
        <v>0</v>
      </c>
      <c r="DX230" s="46"/>
      <c r="DY230" s="21">
        <f t="shared" si="914"/>
        <v>0</v>
      </c>
      <c r="DZ230" s="19">
        <f t="shared" si="915"/>
        <v>0</v>
      </c>
      <c r="EA230" s="19">
        <f t="shared" si="916"/>
        <v>0</v>
      </c>
      <c r="EB230" s="19"/>
      <c r="EC230" s="48">
        <f t="shared" si="988"/>
        <v>0</v>
      </c>
      <c r="ED230" s="48">
        <f t="shared" si="989"/>
        <v>0</v>
      </c>
      <c r="EE230" s="22"/>
      <c r="EF230" s="22"/>
      <c r="EG230" s="22">
        <f t="shared" si="917"/>
        <v>0</v>
      </c>
      <c r="EH230" s="22"/>
      <c r="EI230" s="22"/>
      <c r="EJ230" s="22">
        <f t="shared" si="918"/>
        <v>0</v>
      </c>
      <c r="EK230" s="40"/>
      <c r="EL230" s="19"/>
      <c r="EM230" s="19"/>
      <c r="EN230" s="40">
        <f t="shared" si="891"/>
        <v>0</v>
      </c>
      <c r="EO230" s="40">
        <f t="shared" si="892"/>
        <v>0</v>
      </c>
      <c r="EP230" s="40"/>
      <c r="EQ230" s="21">
        <f t="shared" si="888"/>
        <v>0</v>
      </c>
      <c r="ER230" s="21"/>
      <c r="ES230" s="21"/>
      <c r="ET230" s="21"/>
      <c r="EU230" s="19">
        <f t="shared" si="893"/>
        <v>0</v>
      </c>
      <c r="EV230" s="21"/>
      <c r="EW230" s="39"/>
      <c r="EX230" s="39">
        <f t="shared" ref="EX230:EX240" si="1010">+BD230*AY230</f>
        <v>0</v>
      </c>
      <c r="EY230" s="39">
        <f t="shared" si="951"/>
        <v>0</v>
      </c>
      <c r="EZ230" s="39"/>
      <c r="FA230" s="39"/>
      <c r="FB230" s="39"/>
      <c r="FC230" s="39"/>
      <c r="FD230" s="39"/>
      <c r="FE230" s="39"/>
      <c r="FF230" s="39"/>
      <c r="FG230" s="39"/>
      <c r="FH230" s="39"/>
      <c r="FI230" s="39"/>
      <c r="FJ230" s="19">
        <f t="shared" si="894"/>
        <v>0</v>
      </c>
      <c r="FK230" s="19">
        <f t="shared" si="895"/>
        <v>0</v>
      </c>
      <c r="FL230" s="19">
        <f t="shared" si="896"/>
        <v>0</v>
      </c>
      <c r="FM230" s="19"/>
      <c r="FN230" s="19"/>
      <c r="FO230" s="22">
        <f t="shared" si="1002"/>
        <v>0</v>
      </c>
      <c r="FP230" s="22"/>
      <c r="FQ230" s="22"/>
      <c r="FR230" s="22">
        <f t="shared" si="931"/>
        <v>0</v>
      </c>
      <c r="FS230" s="22"/>
      <c r="FT230" s="22"/>
      <c r="FU230" s="40"/>
      <c r="FV230" s="19">
        <f t="shared" si="990"/>
        <v>0</v>
      </c>
      <c r="FW230" s="19">
        <f t="shared" si="991"/>
        <v>0</v>
      </c>
      <c r="FX230" s="19">
        <f t="shared" si="940"/>
        <v>0</v>
      </c>
      <c r="FY230" s="19">
        <f t="shared" si="941"/>
        <v>0</v>
      </c>
      <c r="FZ230" s="19">
        <f t="shared" si="942"/>
        <v>0</v>
      </c>
      <c r="GA230" s="19">
        <f t="shared" si="943"/>
        <v>0</v>
      </c>
      <c r="GB230" s="19">
        <f t="shared" si="944"/>
        <v>0</v>
      </c>
      <c r="GC230" s="20">
        <f t="shared" si="977"/>
        <v>0</v>
      </c>
      <c r="GD230" s="20">
        <f t="shared" si="945"/>
        <v>0</v>
      </c>
      <c r="GE230" s="21"/>
      <c r="GF230" s="21"/>
      <c r="GG230" s="21"/>
      <c r="GH230" s="21"/>
      <c r="GI230" s="21"/>
      <c r="GJ230" s="21"/>
      <c r="GK230" s="21"/>
      <c r="GL230" s="21"/>
      <c r="GM230" s="19"/>
      <c r="GN230" s="19"/>
      <c r="GO230" s="22"/>
      <c r="GP230" s="22"/>
      <c r="GQ230" s="22"/>
      <c r="GR230" s="22"/>
      <c r="GS230" s="22"/>
      <c r="GT230" s="22"/>
      <c r="GU230" s="43"/>
      <c r="GV230" s="19"/>
      <c r="GW230" s="19"/>
      <c r="GX230" s="19"/>
      <c r="GY230" s="19"/>
      <c r="GZ230" s="19"/>
      <c r="HA230" s="22"/>
      <c r="HB230" s="22"/>
      <c r="HC230" s="22"/>
      <c r="HD230" s="22"/>
      <c r="HE230" s="22"/>
      <c r="HF230" s="22"/>
      <c r="HG230" s="233"/>
    </row>
    <row r="231" spans="2:215" ht="15.6" hidden="1" customHeight="1">
      <c r="B231" s="10"/>
      <c r="C231" s="184" t="s">
        <v>135</v>
      </c>
      <c r="D231" s="73">
        <f t="shared" si="992"/>
        <v>490143.99999999994</v>
      </c>
      <c r="E231" s="73">
        <f>+E230</f>
        <v>310847.09999999998</v>
      </c>
      <c r="F231" s="74" t="e">
        <f>+E231*#REF!</f>
        <v>#REF!</v>
      </c>
      <c r="G231" s="74" t="e">
        <f>+E231*#REF!</f>
        <v>#REF!</v>
      </c>
      <c r="H231" s="74" t="e">
        <f>+E231*#REF!</f>
        <v>#REF!</v>
      </c>
      <c r="I231" s="73">
        <f>+I230</f>
        <v>179296.89999999997</v>
      </c>
      <c r="J231" s="74" t="e">
        <f>+I231*#REF!</f>
        <v>#REF!</v>
      </c>
      <c r="K231" s="74" t="e">
        <f>+I231*#REF!</f>
        <v>#REF!</v>
      </c>
      <c r="L231" s="74" t="e">
        <f>+I231*#REF!</f>
        <v>#REF!</v>
      </c>
      <c r="M231" s="143">
        <f t="shared" si="1001"/>
        <v>0</v>
      </c>
      <c r="N231" s="191">
        <f t="shared" si="993"/>
        <v>0</v>
      </c>
      <c r="O231" s="74">
        <v>0</v>
      </c>
      <c r="P231" s="74">
        <v>0</v>
      </c>
      <c r="Q231" s="74">
        <v>0</v>
      </c>
      <c r="R231" s="191">
        <f t="shared" si="994"/>
        <v>0</v>
      </c>
      <c r="S231" s="74">
        <v>0</v>
      </c>
      <c r="T231" s="74">
        <v>0</v>
      </c>
      <c r="U231" s="74">
        <v>0</v>
      </c>
      <c r="V231" s="22">
        <v>16.809999999999999</v>
      </c>
      <c r="W231" s="22">
        <v>16.809999999999999</v>
      </c>
      <c r="X231" s="52">
        <f t="shared" si="927"/>
        <v>100</v>
      </c>
      <c r="Y231" s="22">
        <v>17.8</v>
      </c>
      <c r="Z231" s="22">
        <f t="shared" si="852"/>
        <v>105.88935157644261</v>
      </c>
      <c r="AA231" s="22">
        <v>18.78</v>
      </c>
      <c r="AB231" s="22">
        <f t="shared" si="853"/>
        <v>105.50561797752809</v>
      </c>
      <c r="AC231" s="22">
        <v>18.78</v>
      </c>
      <c r="AD231" s="22"/>
      <c r="AE231" s="22"/>
      <c r="AF231" s="22"/>
      <c r="AG231" s="22">
        <f t="shared" si="889"/>
        <v>0</v>
      </c>
      <c r="AH231" s="22">
        <v>10.24</v>
      </c>
      <c r="AI231" s="22">
        <v>10.24</v>
      </c>
      <c r="AJ231" s="52">
        <f t="shared" si="854"/>
        <v>100</v>
      </c>
      <c r="AK231" s="22">
        <v>10.84</v>
      </c>
      <c r="AL231" s="22">
        <f t="shared" si="855"/>
        <v>105.859375</v>
      </c>
      <c r="AM231" s="22">
        <v>11.45</v>
      </c>
      <c r="AN231" s="22">
        <f t="shared" si="856"/>
        <v>105.62730627306271</v>
      </c>
      <c r="AO231" s="22">
        <f t="shared" si="928"/>
        <v>111.71921475312317</v>
      </c>
      <c r="AP231" s="22">
        <f t="shared" si="857"/>
        <v>111.81640625</v>
      </c>
      <c r="AQ231" s="22">
        <v>11.45</v>
      </c>
      <c r="AR231" s="22"/>
      <c r="AS231" s="22"/>
      <c r="AT231" s="22"/>
      <c r="AU231" s="22">
        <f t="shared" si="890"/>
        <v>0</v>
      </c>
      <c r="AV231" s="77"/>
      <c r="AW231" s="77">
        <f>+CY231/$CY$220*100</f>
        <v>0</v>
      </c>
      <c r="AX231" s="239"/>
      <c r="AY231" s="22">
        <f t="shared" si="898"/>
        <v>0</v>
      </c>
      <c r="AZ231" s="22"/>
      <c r="BA231" s="22"/>
      <c r="BB231" s="22"/>
      <c r="BC231" s="22"/>
      <c r="BD231" s="22"/>
      <c r="BE231" s="22">
        <f t="shared" si="924"/>
        <v>0</v>
      </c>
      <c r="BF231" s="22"/>
      <c r="BG231" s="22"/>
      <c r="BH231" s="22">
        <f t="shared" si="925"/>
        <v>0</v>
      </c>
      <c r="BI231" s="22"/>
      <c r="BJ231" s="40"/>
      <c r="BK231" s="19">
        <f t="shared" si="979"/>
        <v>8238.6884086101672</v>
      </c>
      <c r="BL231" s="19">
        <f t="shared" si="1003"/>
        <v>2697.5205966101698</v>
      </c>
      <c r="BM231" s="19">
        <f t="shared" si="1004"/>
        <v>2527.1869229999993</v>
      </c>
      <c r="BN231" s="19">
        <f t="shared" si="1005"/>
        <v>3013.980888999999</v>
      </c>
      <c r="BO231" s="19">
        <f t="shared" si="980"/>
        <v>8723.4567950677956</v>
      </c>
      <c r="BP231" s="19">
        <f t="shared" si="1006"/>
        <v>2855.5784440677967</v>
      </c>
      <c r="BQ231" s="19">
        <f t="shared" si="872"/>
        <v>2676.3935310000002</v>
      </c>
      <c r="BR231" s="19">
        <f t="shared" si="1007"/>
        <v>3191.4848199999992</v>
      </c>
      <c r="BS231" s="19">
        <f t="shared" si="981"/>
        <v>9205.9580389830517</v>
      </c>
      <c r="BT231" s="19">
        <f t="shared" si="1008"/>
        <v>3016.2705889830504</v>
      </c>
      <c r="BU231" s="19">
        <f t="shared" si="873"/>
        <v>2822.4916680000006</v>
      </c>
      <c r="BV231" s="19">
        <f t="shared" si="1009"/>
        <v>3367.1957819999998</v>
      </c>
      <c r="BW231" s="19">
        <f t="shared" si="982"/>
        <v>0</v>
      </c>
      <c r="BX231" s="19">
        <f t="shared" si="996"/>
        <v>0</v>
      </c>
      <c r="BY231" s="19">
        <f t="shared" si="997"/>
        <v>0</v>
      </c>
      <c r="BZ231" s="19">
        <f t="shared" si="998"/>
        <v>0</v>
      </c>
      <c r="CA231" s="19">
        <f t="shared" si="983"/>
        <v>0</v>
      </c>
      <c r="CB231" s="19">
        <f t="shared" si="984"/>
        <v>0</v>
      </c>
      <c r="CC231" s="19">
        <f t="shared" si="985"/>
        <v>0</v>
      </c>
      <c r="CD231" s="19">
        <f t="shared" si="906"/>
        <v>0</v>
      </c>
      <c r="CE231" s="48">
        <f t="shared" si="952"/>
        <v>0</v>
      </c>
      <c r="CF231" s="48">
        <f t="shared" si="953"/>
        <v>17.8</v>
      </c>
      <c r="CG231" s="48">
        <f t="shared" si="954"/>
        <v>18.78</v>
      </c>
      <c r="CH231" s="48">
        <f t="shared" si="955"/>
        <v>10.240000000000002</v>
      </c>
      <c r="CI231" s="48">
        <f t="shared" si="956"/>
        <v>10.84</v>
      </c>
      <c r="CJ231" s="48">
        <f t="shared" si="957"/>
        <v>11.449999999999998</v>
      </c>
      <c r="CK231" s="48">
        <f t="shared" si="958"/>
        <v>16.808710110926928</v>
      </c>
      <c r="CL231" s="48">
        <f t="shared" si="959"/>
        <v>17.797742694122128</v>
      </c>
      <c r="CM231" s="48">
        <f t="shared" si="960"/>
        <v>18.782149815121787</v>
      </c>
      <c r="CN231" s="48">
        <f t="shared" si="929"/>
        <v>17.796200873390283</v>
      </c>
      <c r="CO231" s="48">
        <f t="shared" si="961"/>
        <v>0</v>
      </c>
      <c r="CP231" s="48">
        <f t="shared" si="962"/>
        <v>0</v>
      </c>
      <c r="CQ231" s="48">
        <f t="shared" si="963"/>
        <v>0</v>
      </c>
      <c r="CR231" s="48">
        <f t="shared" si="964"/>
        <v>0</v>
      </c>
      <c r="CS231" s="48">
        <f t="shared" si="965"/>
        <v>0</v>
      </c>
      <c r="CT231" s="48">
        <f t="shared" si="966"/>
        <v>0</v>
      </c>
      <c r="CU231" s="48">
        <f t="shared" si="930"/>
        <v>0</v>
      </c>
      <c r="CV231" s="48">
        <f t="shared" si="967"/>
        <v>0</v>
      </c>
      <c r="CW231" s="19" t="e">
        <f t="shared" si="986"/>
        <v>#REF!</v>
      </c>
      <c r="CX231" s="19" t="e">
        <f t="shared" si="987"/>
        <v>#REF!</v>
      </c>
      <c r="CY231" s="19">
        <f t="shared" si="999"/>
        <v>0</v>
      </c>
      <c r="CZ231" s="19">
        <f t="shared" si="1000"/>
        <v>0</v>
      </c>
      <c r="DA231" s="21" t="e">
        <f t="shared" si="968"/>
        <v>#REF!</v>
      </c>
      <c r="DB231" s="21">
        <f t="shared" si="969"/>
        <v>0</v>
      </c>
      <c r="DC231" s="79" t="e">
        <f t="shared" si="970"/>
        <v>#REF!</v>
      </c>
      <c r="DD231" s="79" t="e">
        <f t="shared" si="970"/>
        <v>#REF!</v>
      </c>
      <c r="DE231" s="79">
        <f t="shared" si="971"/>
        <v>0</v>
      </c>
      <c r="DF231" s="79">
        <f t="shared" si="971"/>
        <v>0</v>
      </c>
      <c r="DG231" s="79">
        <f t="shared" si="874"/>
        <v>0</v>
      </c>
      <c r="DH231" s="51">
        <f t="shared" si="972"/>
        <v>0</v>
      </c>
      <c r="DI231" s="39"/>
      <c r="DJ231" s="80" t="e">
        <f t="shared" si="973"/>
        <v>#REF!</v>
      </c>
      <c r="DK231" s="39" t="e">
        <f t="shared" si="974"/>
        <v>#REF!</v>
      </c>
      <c r="DL231" s="39" t="e">
        <f t="shared" si="975"/>
        <v>#REF!</v>
      </c>
      <c r="DM231" s="48"/>
      <c r="DN231" s="39"/>
      <c r="DO231" s="39"/>
      <c r="DP231" s="39"/>
      <c r="DQ231" s="39"/>
      <c r="DR231" s="39"/>
      <c r="DS231" s="39"/>
      <c r="DT231" s="39"/>
      <c r="DU231" s="19">
        <f t="shared" si="926"/>
        <v>0</v>
      </c>
      <c r="DV231" s="40">
        <f t="shared" si="912"/>
        <v>0</v>
      </c>
      <c r="DW231" s="40">
        <f t="shared" si="913"/>
        <v>0</v>
      </c>
      <c r="DX231" s="46"/>
      <c r="DY231" s="21">
        <f t="shared" si="914"/>
        <v>0</v>
      </c>
      <c r="DZ231" s="19">
        <f t="shared" si="915"/>
        <v>0</v>
      </c>
      <c r="EA231" s="19">
        <f t="shared" si="916"/>
        <v>0</v>
      </c>
      <c r="EB231" s="19"/>
      <c r="EC231" s="48">
        <f t="shared" si="988"/>
        <v>0</v>
      </c>
      <c r="ED231" s="48">
        <f t="shared" si="989"/>
        <v>0</v>
      </c>
      <c r="EE231" s="22"/>
      <c r="EF231" s="22"/>
      <c r="EG231" s="22">
        <f t="shared" si="917"/>
        <v>0</v>
      </c>
      <c r="EH231" s="22"/>
      <c r="EI231" s="22"/>
      <c r="EJ231" s="22">
        <f t="shared" si="918"/>
        <v>0</v>
      </c>
      <c r="EK231" s="40"/>
      <c r="EL231" s="19"/>
      <c r="EM231" s="19"/>
      <c r="EN231" s="40">
        <f t="shared" si="891"/>
        <v>0</v>
      </c>
      <c r="EO231" s="40">
        <f t="shared" si="892"/>
        <v>0</v>
      </c>
      <c r="EP231" s="40"/>
      <c r="EQ231" s="21">
        <f t="shared" si="888"/>
        <v>0</v>
      </c>
      <c r="ER231" s="21"/>
      <c r="ES231" s="21"/>
      <c r="ET231" s="21"/>
      <c r="EU231" s="19">
        <f t="shared" si="893"/>
        <v>0</v>
      </c>
      <c r="EV231" s="21"/>
      <c r="EW231" s="39"/>
      <c r="EX231" s="39">
        <f t="shared" si="1010"/>
        <v>0</v>
      </c>
      <c r="EY231" s="39">
        <f t="shared" si="951"/>
        <v>0</v>
      </c>
      <c r="EZ231" s="39"/>
      <c r="FA231" s="39"/>
      <c r="FB231" s="39"/>
      <c r="FC231" s="39"/>
      <c r="FD231" s="39"/>
      <c r="FE231" s="39"/>
      <c r="FF231" s="39"/>
      <c r="FG231" s="39"/>
      <c r="FH231" s="39"/>
      <c r="FI231" s="39"/>
      <c r="FJ231" s="19">
        <f t="shared" si="894"/>
        <v>0</v>
      </c>
      <c r="FK231" s="19">
        <f t="shared" si="895"/>
        <v>0</v>
      </c>
      <c r="FL231" s="19">
        <f t="shared" si="896"/>
        <v>0</v>
      </c>
      <c r="FM231" s="19"/>
      <c r="FN231" s="19"/>
      <c r="FO231" s="22">
        <f t="shared" si="1002"/>
        <v>0</v>
      </c>
      <c r="FP231" s="22"/>
      <c r="FQ231" s="22"/>
      <c r="FR231" s="22">
        <f t="shared" ref="FR231:FR257" si="1011">+EI231</f>
        <v>0</v>
      </c>
      <c r="FS231" s="22"/>
      <c r="FT231" s="22"/>
      <c r="FU231" s="40"/>
      <c r="FV231" s="19">
        <f t="shared" si="990"/>
        <v>0</v>
      </c>
      <c r="FW231" s="19">
        <f t="shared" si="991"/>
        <v>0</v>
      </c>
      <c r="FX231" s="19">
        <f t="shared" ref="FX231:FX232" si="1012">+(FW231/2)-FV231/2</f>
        <v>0</v>
      </c>
      <c r="FY231" s="19">
        <f t="shared" ref="FY231:FY232" si="1013">+(FR231*EM231)/1.18</f>
        <v>0</v>
      </c>
      <c r="FZ231" s="19">
        <f t="shared" ref="FZ231:FZ232" si="1014">+FO231*EM231</f>
        <v>0</v>
      </c>
      <c r="GA231" s="19">
        <f t="shared" ref="GA231:GA232" si="1015">+(FS231*EM231)/1.18</f>
        <v>0</v>
      </c>
      <c r="GB231" s="19">
        <f t="shared" ref="GB231:GB232" si="1016">+FP231*EM231</f>
        <v>0</v>
      </c>
      <c r="GC231" s="20">
        <f t="shared" si="977"/>
        <v>0</v>
      </c>
      <c r="GD231" s="20">
        <f t="shared" si="945"/>
        <v>0</v>
      </c>
      <c r="GE231" s="21"/>
      <c r="GF231" s="21"/>
      <c r="GG231" s="21"/>
      <c r="GH231" s="21"/>
      <c r="GI231" s="21"/>
      <c r="GJ231" s="21"/>
      <c r="GK231" s="21"/>
      <c r="GL231" s="21"/>
      <c r="GM231" s="19"/>
      <c r="GN231" s="19"/>
      <c r="GO231" s="22"/>
      <c r="GP231" s="22"/>
      <c r="GQ231" s="22"/>
      <c r="GR231" s="22"/>
      <c r="GS231" s="22"/>
      <c r="GT231" s="22"/>
      <c r="GU231" s="43"/>
      <c r="GV231" s="19"/>
      <c r="GW231" s="19"/>
      <c r="GX231" s="19"/>
      <c r="GY231" s="19"/>
      <c r="GZ231" s="19"/>
      <c r="HA231" s="22"/>
      <c r="HB231" s="22"/>
      <c r="HC231" s="22"/>
      <c r="HD231" s="22"/>
      <c r="HE231" s="22"/>
      <c r="HF231" s="22"/>
      <c r="HG231" s="233"/>
    </row>
    <row r="232" spans="2:215" ht="15.75">
      <c r="B232" s="10" t="s">
        <v>369</v>
      </c>
      <c r="C232" s="81" t="s">
        <v>152</v>
      </c>
      <c r="D232" s="73"/>
      <c r="E232" s="73"/>
      <c r="F232" s="74"/>
      <c r="G232" s="74"/>
      <c r="H232" s="74"/>
      <c r="I232" s="73"/>
      <c r="J232" s="74"/>
      <c r="K232" s="74"/>
      <c r="L232" s="74"/>
      <c r="M232" s="143"/>
      <c r="N232" s="191"/>
      <c r="O232" s="74"/>
      <c r="P232" s="74"/>
      <c r="Q232" s="74"/>
      <c r="R232" s="191"/>
      <c r="S232" s="74"/>
      <c r="T232" s="74"/>
      <c r="U232" s="74"/>
      <c r="V232" s="22"/>
      <c r="W232" s="22"/>
      <c r="X232" s="52"/>
      <c r="Y232" s="22"/>
      <c r="Z232" s="22"/>
      <c r="AA232" s="22"/>
      <c r="AB232" s="22"/>
      <c r="AC232" s="22"/>
      <c r="AD232" s="22"/>
      <c r="AE232" s="22"/>
      <c r="AF232" s="22"/>
      <c r="AG232" s="22">
        <f t="shared" si="889"/>
        <v>0</v>
      </c>
      <c r="AH232" s="22"/>
      <c r="AI232" s="22"/>
      <c r="AJ232" s="52"/>
      <c r="AK232" s="22"/>
      <c r="AL232" s="22"/>
      <c r="AM232" s="22"/>
      <c r="AN232" s="22"/>
      <c r="AO232" s="22"/>
      <c r="AP232" s="22"/>
      <c r="AQ232" s="22"/>
      <c r="AR232" s="22"/>
      <c r="AS232" s="22"/>
      <c r="AT232" s="22"/>
      <c r="AU232" s="22">
        <f t="shared" si="890"/>
        <v>0</v>
      </c>
      <c r="AV232" s="77"/>
      <c r="AW232" s="77"/>
      <c r="AX232" s="78"/>
      <c r="AY232" s="22">
        <f t="shared" si="898"/>
        <v>0</v>
      </c>
      <c r="AZ232" s="22"/>
      <c r="BA232" s="22"/>
      <c r="BB232" s="22"/>
      <c r="BC232" s="22"/>
      <c r="BD232" s="22"/>
      <c r="BE232" s="22">
        <f t="shared" si="924"/>
        <v>0</v>
      </c>
      <c r="BF232" s="22"/>
      <c r="BG232" s="22"/>
      <c r="BH232" s="22">
        <f t="shared" si="925"/>
        <v>0</v>
      </c>
      <c r="BI232" s="22"/>
      <c r="BJ232" s="40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48"/>
      <c r="CF232" s="48"/>
      <c r="CG232" s="48"/>
      <c r="CH232" s="48"/>
      <c r="CI232" s="48"/>
      <c r="CJ232" s="48"/>
      <c r="CK232" s="48"/>
      <c r="CL232" s="48"/>
      <c r="CM232" s="48"/>
      <c r="CN232" s="48"/>
      <c r="CO232" s="48"/>
      <c r="CP232" s="48"/>
      <c r="CQ232" s="48"/>
      <c r="CR232" s="48"/>
      <c r="CS232" s="48"/>
      <c r="CT232" s="48"/>
      <c r="CU232" s="48"/>
      <c r="CV232" s="48"/>
      <c r="CW232" s="19"/>
      <c r="CX232" s="19"/>
      <c r="CY232" s="19"/>
      <c r="CZ232" s="19"/>
      <c r="DA232" s="21"/>
      <c r="DB232" s="21"/>
      <c r="DC232" s="79"/>
      <c r="DD232" s="79"/>
      <c r="DE232" s="79"/>
      <c r="DF232" s="79"/>
      <c r="DG232" s="79"/>
      <c r="DH232" s="51"/>
      <c r="DI232" s="39"/>
      <c r="DJ232" s="80"/>
      <c r="DK232" s="39"/>
      <c r="DL232" s="39"/>
      <c r="DM232" s="48"/>
      <c r="DN232" s="39"/>
      <c r="DO232" s="39"/>
      <c r="DP232" s="39"/>
      <c r="DQ232" s="39"/>
      <c r="DR232" s="39"/>
      <c r="DS232" s="39"/>
      <c r="DT232" s="39"/>
      <c r="DU232" s="19">
        <f t="shared" si="926"/>
        <v>0</v>
      </c>
      <c r="DV232" s="40">
        <f t="shared" si="912"/>
        <v>0</v>
      </c>
      <c r="DW232" s="40">
        <f t="shared" si="913"/>
        <v>0</v>
      </c>
      <c r="DX232" s="46"/>
      <c r="DY232" s="21">
        <f t="shared" si="914"/>
        <v>0</v>
      </c>
      <c r="DZ232" s="19">
        <f t="shared" si="915"/>
        <v>0</v>
      </c>
      <c r="EA232" s="19">
        <f t="shared" si="916"/>
        <v>0</v>
      </c>
      <c r="EB232" s="19"/>
      <c r="EC232" s="48">
        <f t="shared" si="988"/>
        <v>0</v>
      </c>
      <c r="ED232" s="48">
        <f t="shared" si="989"/>
        <v>0</v>
      </c>
      <c r="EE232" s="22"/>
      <c r="EF232" s="22"/>
      <c r="EG232" s="22">
        <f t="shared" si="917"/>
        <v>0</v>
      </c>
      <c r="EH232" s="22"/>
      <c r="EI232" s="22"/>
      <c r="EJ232" s="22">
        <f t="shared" si="918"/>
        <v>0</v>
      </c>
      <c r="EK232" s="40"/>
      <c r="EL232" s="19"/>
      <c r="EM232" s="19"/>
      <c r="EN232" s="40">
        <f t="shared" si="891"/>
        <v>0</v>
      </c>
      <c r="EO232" s="40">
        <f t="shared" si="892"/>
        <v>0</v>
      </c>
      <c r="EP232" s="40"/>
      <c r="EQ232" s="21">
        <f t="shared" si="888"/>
        <v>0</v>
      </c>
      <c r="ER232" s="21"/>
      <c r="ES232" s="21">
        <f t="shared" ref="ES232:ES241" si="1017">+EL232*EE232</f>
        <v>0</v>
      </c>
      <c r="ET232" s="21"/>
      <c r="EU232" s="19">
        <f t="shared" si="893"/>
        <v>0</v>
      </c>
      <c r="EV232" s="21"/>
      <c r="EW232" s="39"/>
      <c r="EX232" s="39">
        <f t="shared" si="1010"/>
        <v>0</v>
      </c>
      <c r="EY232" s="39">
        <f t="shared" si="951"/>
        <v>0</v>
      </c>
      <c r="EZ232" s="39"/>
      <c r="FA232" s="39"/>
      <c r="FB232" s="39"/>
      <c r="FC232" s="39"/>
      <c r="FD232" s="39"/>
      <c r="FE232" s="39"/>
      <c r="FF232" s="39"/>
      <c r="FG232" s="39"/>
      <c r="FH232" s="39"/>
      <c r="FI232" s="39"/>
      <c r="FJ232" s="19">
        <f t="shared" si="894"/>
        <v>0</v>
      </c>
      <c r="FK232" s="19">
        <f t="shared" si="895"/>
        <v>0</v>
      </c>
      <c r="FL232" s="19">
        <f t="shared" si="896"/>
        <v>0</v>
      </c>
      <c r="FM232" s="19"/>
      <c r="FN232" s="19"/>
      <c r="FO232" s="22">
        <f t="shared" si="1002"/>
        <v>0</v>
      </c>
      <c r="FP232" s="22"/>
      <c r="FQ232" s="22"/>
      <c r="FR232" s="22">
        <f t="shared" si="1011"/>
        <v>0</v>
      </c>
      <c r="FS232" s="22"/>
      <c r="FT232" s="22"/>
      <c r="FU232" s="40"/>
      <c r="FV232" s="19">
        <f>+(FO232-FR232/1.18)*FN232</f>
        <v>0</v>
      </c>
      <c r="FW232" s="19">
        <f t="shared" ref="FW232" si="1018">+(FP232-FS232/1.18)*FN232</f>
        <v>0</v>
      </c>
      <c r="FX232" s="19">
        <f t="shared" si="1012"/>
        <v>0</v>
      </c>
      <c r="FY232" s="19">
        <f t="shared" si="1013"/>
        <v>0</v>
      </c>
      <c r="FZ232" s="19">
        <f t="shared" si="1014"/>
        <v>0</v>
      </c>
      <c r="GA232" s="19">
        <f t="shared" si="1015"/>
        <v>0</v>
      </c>
      <c r="GB232" s="19">
        <f t="shared" si="1016"/>
        <v>0</v>
      </c>
      <c r="GC232" s="20">
        <f t="shared" si="977"/>
        <v>0</v>
      </c>
      <c r="GD232" s="20">
        <f t="shared" si="945"/>
        <v>0</v>
      </c>
      <c r="GE232" s="21"/>
      <c r="GF232" s="21">
        <f t="shared" ref="GF232" si="1019">+FR232*FN232</f>
        <v>0</v>
      </c>
      <c r="GG232" s="21"/>
      <c r="GH232" s="21"/>
      <c r="GI232" s="21">
        <f t="shared" ref="GI232" si="1020">+FP232*FM232</f>
        <v>0</v>
      </c>
      <c r="GJ232" s="21">
        <f t="shared" ref="GJ232" si="1021">+FS232*FN232</f>
        <v>0</v>
      </c>
      <c r="GK232" s="21"/>
      <c r="GL232" s="21"/>
      <c r="GM232" s="19"/>
      <c r="GN232" s="19"/>
      <c r="GO232" s="22"/>
      <c r="GP232" s="22"/>
      <c r="GQ232" s="22"/>
      <c r="GR232" s="22"/>
      <c r="GS232" s="22"/>
      <c r="GT232" s="22"/>
      <c r="GU232" s="43"/>
      <c r="GV232" s="19"/>
      <c r="GW232" s="19"/>
      <c r="GX232" s="19"/>
      <c r="GY232" s="19"/>
      <c r="GZ232" s="19"/>
      <c r="HA232" s="22"/>
      <c r="HB232" s="22"/>
      <c r="HC232" s="22"/>
      <c r="HD232" s="22"/>
      <c r="HE232" s="22"/>
      <c r="HF232" s="22"/>
      <c r="HG232" s="233"/>
    </row>
    <row r="233" spans="2:215" ht="15.75">
      <c r="B233" s="10"/>
      <c r="C233" s="161" t="s">
        <v>153</v>
      </c>
      <c r="D233" s="73"/>
      <c r="E233" s="73"/>
      <c r="F233" s="74"/>
      <c r="G233" s="74"/>
      <c r="H233" s="74"/>
      <c r="I233" s="73"/>
      <c r="J233" s="74"/>
      <c r="K233" s="74"/>
      <c r="L233" s="74"/>
      <c r="M233" s="143"/>
      <c r="N233" s="191"/>
      <c r="O233" s="74"/>
      <c r="P233" s="74"/>
      <c r="Q233" s="74"/>
      <c r="R233" s="191"/>
      <c r="S233" s="74"/>
      <c r="T233" s="74"/>
      <c r="U233" s="74"/>
      <c r="V233" s="22"/>
      <c r="W233" s="22"/>
      <c r="X233" s="52"/>
      <c r="Y233" s="22"/>
      <c r="Z233" s="22"/>
      <c r="AA233" s="22"/>
      <c r="AB233" s="22"/>
      <c r="AC233" s="22"/>
      <c r="AD233" s="22">
        <v>2523.4</v>
      </c>
      <c r="AE233" s="22">
        <f>+IF(AC233=0,,AF233/AC233*100)</f>
        <v>0</v>
      </c>
      <c r="AF233" s="22">
        <v>2523.4</v>
      </c>
      <c r="AG233" s="22">
        <f t="shared" si="889"/>
        <v>100</v>
      </c>
      <c r="AH233" s="22"/>
      <c r="AI233" s="22"/>
      <c r="AJ233" s="52"/>
      <c r="AK233" s="22"/>
      <c r="AL233" s="22"/>
      <c r="AM233" s="22"/>
      <c r="AN233" s="22"/>
      <c r="AO233" s="22"/>
      <c r="AP233" s="22"/>
      <c r="AQ233" s="22"/>
      <c r="AR233" s="22">
        <v>1250.79</v>
      </c>
      <c r="AS233" s="22">
        <f>+IF(AQ233=0,,AT233/AQ233*100)</f>
        <v>0</v>
      </c>
      <c r="AT233" s="22">
        <v>1397.13</v>
      </c>
      <c r="AU233" s="22">
        <f t="shared" si="890"/>
        <v>111.69980572278322</v>
      </c>
      <c r="AV233" s="77"/>
      <c r="AW233" s="77"/>
      <c r="AX233" s="78" t="s">
        <v>139</v>
      </c>
      <c r="AY233" s="22">
        <f t="shared" si="898"/>
        <v>59.449000000000005</v>
      </c>
      <c r="AZ233" s="22">
        <f>+[8]БПр!$BX$368/1000</f>
        <v>40.538150000000009</v>
      </c>
      <c r="BA233" s="22">
        <f>+[8]БПр!$BW$368/1000</f>
        <v>14.236519999999999</v>
      </c>
      <c r="BB233" s="22">
        <f>+([8]БПр!$BY$368+[8]БПр!$BP$368)/1000</f>
        <v>4.6743300000000003</v>
      </c>
      <c r="BC233" s="22">
        <v>2523.4</v>
      </c>
      <c r="BD233" s="22">
        <v>2629.38</v>
      </c>
      <c r="BE233" s="22">
        <f t="shared" si="924"/>
        <v>104.19988903859871</v>
      </c>
      <c r="BF233" s="22">
        <v>1397.13</v>
      </c>
      <c r="BG233" s="22">
        <v>1455.8</v>
      </c>
      <c r="BH233" s="22">
        <f t="shared" si="925"/>
        <v>104.19932289765445</v>
      </c>
      <c r="BI233" s="22">
        <f>+BD233-BG233/1.18</f>
        <v>1395.651186440678</v>
      </c>
      <c r="BJ233" s="40" t="s">
        <v>140</v>
      </c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48"/>
      <c r="CF233" s="48"/>
      <c r="CG233" s="48"/>
      <c r="CH233" s="48"/>
      <c r="CI233" s="48"/>
      <c r="CJ233" s="48"/>
      <c r="CK233" s="48"/>
      <c r="CL233" s="48"/>
      <c r="CM233" s="48"/>
      <c r="CN233" s="48"/>
      <c r="CO233" s="48"/>
      <c r="CP233" s="48"/>
      <c r="CQ233" s="48"/>
      <c r="CR233" s="48"/>
      <c r="CS233" s="48"/>
      <c r="CT233" s="48"/>
      <c r="CU233" s="48"/>
      <c r="CV233" s="48"/>
      <c r="CW233" s="19"/>
      <c r="CX233" s="19"/>
      <c r="CY233" s="19"/>
      <c r="CZ233" s="19"/>
      <c r="DA233" s="21"/>
      <c r="DB233" s="21"/>
      <c r="DC233" s="79"/>
      <c r="DD233" s="79"/>
      <c r="DE233" s="79"/>
      <c r="DF233" s="79"/>
      <c r="DG233" s="79"/>
      <c r="DH233" s="51"/>
      <c r="DI233" s="39"/>
      <c r="DJ233" s="80"/>
      <c r="DK233" s="39"/>
      <c r="DL233" s="39"/>
      <c r="DM233" s="48"/>
      <c r="DN233" s="39"/>
      <c r="DO233" s="39"/>
      <c r="DP233" s="39"/>
      <c r="DQ233" s="39"/>
      <c r="DR233" s="39"/>
      <c r="DS233" s="39"/>
      <c r="DT233" s="39"/>
      <c r="DU233" s="19">
        <f t="shared" si="926"/>
        <v>47997.513143644086</v>
      </c>
      <c r="DV233" s="40">
        <f t="shared" si="912"/>
        <v>50013.083703389842</v>
      </c>
      <c r="DW233" s="40">
        <f t="shared" si="913"/>
        <v>106590.20084700003</v>
      </c>
      <c r="DX233" s="21">
        <f>+('[1]тарифы (НВВ) население на 4,2%'!CL284+'[1]тарифы (НВВ) население на 4,2%'!CL285+'[1]тарифы (НВВ) население на 4,2%'!CL286)/('[1]тарифы (НВВ) население на 4,2%'!CM284+'[1]тарифы (НВВ) население на 4,2%'!CM285+'[1]тарифы (НВВ) население на 4,2%'!CM286)*100</f>
        <v>37.180871206036514</v>
      </c>
      <c r="DY233" s="21">
        <f t="shared" si="914"/>
        <v>46.920902020982972</v>
      </c>
      <c r="DZ233" s="19">
        <f t="shared" si="915"/>
        <v>150.01360660000003</v>
      </c>
      <c r="EA233" s="19">
        <f t="shared" si="916"/>
        <v>156.31401162000003</v>
      </c>
      <c r="EB233" s="48">
        <v>1859.47</v>
      </c>
      <c r="EC233" s="48">
        <f>+(BC233-BF233/1.18)*AZ233</f>
        <v>54296.45456635594</v>
      </c>
      <c r="ED233" s="48">
        <f>+(BD233-BG233/1.18)*AZ233</f>
        <v>56577.117143610179</v>
      </c>
      <c r="EE233" s="22">
        <v>2629.38</v>
      </c>
      <c r="EF233" s="22">
        <v>2813.43</v>
      </c>
      <c r="EG233" s="22">
        <f t="shared" si="917"/>
        <v>106.99974899025624</v>
      </c>
      <c r="EH233" s="22">
        <v>1455.8</v>
      </c>
      <c r="EI233" s="22">
        <v>1578.81</v>
      </c>
      <c r="EJ233" s="22">
        <f t="shared" si="918"/>
        <v>108.44964967715345</v>
      </c>
      <c r="EK233" s="40" t="s">
        <v>141</v>
      </c>
      <c r="EL233" s="19">
        <v>58.85248</v>
      </c>
      <c r="EM233" s="19">
        <v>39.572980000000001</v>
      </c>
      <c r="EN233" s="40">
        <f t="shared" si="891"/>
        <v>52947.641147288137</v>
      </c>
      <c r="EO233" s="40">
        <f t="shared" si="892"/>
        <v>111335.8091214</v>
      </c>
      <c r="EP233" s="40"/>
      <c r="EQ233" s="21">
        <f t="shared" si="888"/>
        <v>47.556703961754387</v>
      </c>
      <c r="ER233" s="21"/>
      <c r="ES233" s="21">
        <f t="shared" si="1017"/>
        <v>154745.53386240001</v>
      </c>
      <c r="ET233" s="21"/>
      <c r="EU233" s="19">
        <f t="shared" si="893"/>
        <v>165577.33280639999</v>
      </c>
      <c r="EV233" s="21"/>
      <c r="EW233" s="39"/>
      <c r="EX233" s="39">
        <f t="shared" si="1010"/>
        <v>156314.01162000003</v>
      </c>
      <c r="EY233" s="39">
        <f t="shared" si="951"/>
        <v>167255.60007000001</v>
      </c>
      <c r="EZ233" s="39"/>
      <c r="FA233" s="39"/>
      <c r="FB233" s="39"/>
      <c r="FC233" s="39"/>
      <c r="FD233" s="39"/>
      <c r="FE233" s="39"/>
      <c r="FF233" s="39"/>
      <c r="FG233" s="39"/>
      <c r="FH233" s="39"/>
      <c r="FI233" s="39"/>
      <c r="FJ233" s="19">
        <f t="shared" si="894"/>
        <v>55230.076487993225</v>
      </c>
      <c r="FK233" s="19">
        <f t="shared" si="895"/>
        <v>58388.167974111864</v>
      </c>
      <c r="FL233" s="19">
        <f t="shared" si="896"/>
        <v>113618.2444621051</v>
      </c>
      <c r="FM233" s="19">
        <v>55.8</v>
      </c>
      <c r="FN233" s="19">
        <v>37.328000000000003</v>
      </c>
      <c r="FO233" s="22">
        <v>3013.12</v>
      </c>
      <c r="FP233" s="22">
        <v>3083.47</v>
      </c>
      <c r="FQ233" s="22"/>
      <c r="FR233" s="22">
        <v>2048.42</v>
      </c>
      <c r="FS233" s="22">
        <v>2253.2600000000002</v>
      </c>
      <c r="FT233" s="22"/>
      <c r="FU233" s="40" t="s">
        <v>624</v>
      </c>
      <c r="FV233" s="19"/>
      <c r="FW233" s="19"/>
      <c r="FX233" s="19"/>
      <c r="FY233" s="19"/>
      <c r="FZ233" s="19"/>
      <c r="GA233" s="19"/>
      <c r="GB233" s="19"/>
      <c r="GC233" s="20"/>
      <c r="GD233" s="20"/>
      <c r="GE233" s="21"/>
      <c r="GF233" s="21"/>
      <c r="GG233" s="21"/>
      <c r="GH233" s="21"/>
      <c r="GI233" s="21"/>
      <c r="GJ233" s="21"/>
      <c r="GK233" s="21"/>
      <c r="GL233" s="21"/>
      <c r="GM233" s="19"/>
      <c r="GN233" s="19"/>
      <c r="GO233" s="22">
        <v>3083.47</v>
      </c>
      <c r="GP233" s="22">
        <v>3217.34</v>
      </c>
      <c r="GQ233" s="22"/>
      <c r="GR233" s="22">
        <v>2253.2600000000002</v>
      </c>
      <c r="GS233" s="22">
        <v>2338.88</v>
      </c>
      <c r="GT233" s="22"/>
      <c r="GU233" s="40" t="s">
        <v>624</v>
      </c>
      <c r="GV233" s="19"/>
      <c r="GW233" s="19"/>
      <c r="GX233" s="19"/>
      <c r="GY233" s="19"/>
      <c r="GZ233" s="23"/>
      <c r="HA233" s="22">
        <v>3217.34</v>
      </c>
      <c r="HB233" s="22">
        <v>3305.42</v>
      </c>
      <c r="HC233" s="22"/>
      <c r="HD233" s="22">
        <v>2338.88</v>
      </c>
      <c r="HE233" s="22">
        <v>2432.44</v>
      </c>
      <c r="HF233" s="22"/>
      <c r="HG233" s="236" t="s">
        <v>624</v>
      </c>
    </row>
    <row r="234" spans="2:215" ht="15.75">
      <c r="B234" s="10"/>
      <c r="C234" s="218" t="s">
        <v>300</v>
      </c>
      <c r="D234" s="219"/>
      <c r="E234" s="139"/>
      <c r="F234" s="98"/>
      <c r="G234" s="98"/>
      <c r="H234" s="98"/>
      <c r="I234" s="139"/>
      <c r="J234" s="98"/>
      <c r="K234" s="98"/>
      <c r="L234" s="98"/>
      <c r="M234" s="213"/>
      <c r="N234" s="220"/>
      <c r="O234" s="98"/>
      <c r="P234" s="98"/>
      <c r="Q234" s="98"/>
      <c r="R234" s="220"/>
      <c r="S234" s="98"/>
      <c r="T234" s="98"/>
      <c r="U234" s="98"/>
      <c r="V234" s="102"/>
      <c r="W234" s="107"/>
      <c r="X234" s="101"/>
      <c r="Y234" s="94"/>
      <c r="Z234" s="102"/>
      <c r="AA234" s="106"/>
      <c r="AB234" s="94"/>
      <c r="AC234" s="102"/>
      <c r="AD234" s="102">
        <v>227.87</v>
      </c>
      <c r="AE234" s="94">
        <f>+IF(AC234=0,,AF234/AC234*100)</f>
        <v>0</v>
      </c>
      <c r="AF234" s="102">
        <v>227.87</v>
      </c>
      <c r="AG234" s="102">
        <f>+IF(AD234=0,,AF234/AD234*100)</f>
        <v>100</v>
      </c>
      <c r="AH234" s="94"/>
      <c r="AI234" s="221"/>
      <c r="AJ234" s="150"/>
      <c r="AK234" s="151"/>
      <c r="AL234" s="151"/>
      <c r="AM234" s="151"/>
      <c r="AN234" s="106"/>
      <c r="AO234" s="94"/>
      <c r="AP234" s="107"/>
      <c r="AQ234" s="102"/>
      <c r="AR234" s="102">
        <v>110.16</v>
      </c>
      <c r="AS234" s="94">
        <f>+IF(AQ234=0,,AT234/AQ234*100)</f>
        <v>0</v>
      </c>
      <c r="AT234" s="102">
        <v>122.87</v>
      </c>
      <c r="AU234" s="102">
        <f t="shared" si="890"/>
        <v>111.53776325344953</v>
      </c>
      <c r="AV234" s="103"/>
      <c r="AW234" s="104"/>
      <c r="AX234" s="105" t="s">
        <v>156</v>
      </c>
      <c r="AY234" s="106">
        <f t="shared" si="898"/>
        <v>0</v>
      </c>
      <c r="AZ234" s="106"/>
      <c r="BA234" s="106"/>
      <c r="BB234" s="106"/>
      <c r="BC234" s="106"/>
      <c r="BD234" s="102"/>
      <c r="BE234" s="102">
        <f t="shared" si="924"/>
        <v>0</v>
      </c>
      <c r="BF234" s="102">
        <v>122.87</v>
      </c>
      <c r="BG234" s="107">
        <v>128.03</v>
      </c>
      <c r="BH234" s="102">
        <f t="shared" si="925"/>
        <v>104.1995605111093</v>
      </c>
      <c r="BI234" s="94"/>
      <c r="BJ234" s="108" t="s">
        <v>157</v>
      </c>
      <c r="BK234" s="152"/>
      <c r="BL234" s="121"/>
      <c r="BM234" s="121"/>
      <c r="BN234" s="121"/>
      <c r="BO234" s="121"/>
      <c r="BP234" s="121"/>
      <c r="BQ234" s="121"/>
      <c r="BR234" s="121"/>
      <c r="BS234" s="121"/>
      <c r="BT234" s="121"/>
      <c r="BU234" s="121"/>
      <c r="BV234" s="121"/>
      <c r="BW234" s="121"/>
      <c r="BX234" s="121"/>
      <c r="BY234" s="121"/>
      <c r="BZ234" s="121"/>
      <c r="CA234" s="121"/>
      <c r="CB234" s="121"/>
      <c r="CC234" s="121"/>
      <c r="CD234" s="120"/>
      <c r="CE234" s="109"/>
      <c r="CF234" s="109"/>
      <c r="CG234" s="109"/>
      <c r="CH234" s="109"/>
      <c r="CI234" s="109"/>
      <c r="CJ234" s="109"/>
      <c r="CK234" s="109"/>
      <c r="CL234" s="109"/>
      <c r="CM234" s="109"/>
      <c r="CN234" s="109"/>
      <c r="CO234" s="109"/>
      <c r="CP234" s="109"/>
      <c r="CQ234" s="109"/>
      <c r="CR234" s="109"/>
      <c r="CS234" s="109"/>
      <c r="CT234" s="109"/>
      <c r="CU234" s="110"/>
      <c r="CV234" s="111"/>
      <c r="CW234" s="119"/>
      <c r="CX234" s="121"/>
      <c r="CY234" s="121"/>
      <c r="CZ234" s="120"/>
      <c r="DA234" s="113"/>
      <c r="DB234" s="114"/>
      <c r="DC234" s="153"/>
      <c r="DD234" s="154"/>
      <c r="DE234" s="115"/>
      <c r="DF234" s="115"/>
      <c r="DG234" s="115"/>
      <c r="DH234" s="116"/>
      <c r="DI234" s="26"/>
      <c r="DJ234" s="47"/>
      <c r="DK234" s="26"/>
      <c r="DL234" s="26"/>
      <c r="DM234" s="54"/>
      <c r="DN234" s="26"/>
      <c r="DO234" s="26"/>
      <c r="DP234" s="26"/>
      <c r="DQ234" s="26"/>
      <c r="DR234" s="26"/>
      <c r="DS234" s="26"/>
      <c r="DT234" s="26"/>
      <c r="DU234" s="55">
        <f t="shared" si="926"/>
        <v>0</v>
      </c>
      <c r="DV234" s="155">
        <f>+('[1]тарифы (НВВ) население на 4,2%'!CL288+'[1]тарифы (НВВ) население на 4,2%'!CL289+'[1]тарифы (НВВ) население на 4,2%'!CL290)*1.042</f>
        <v>11839.987526160172</v>
      </c>
      <c r="DW234" s="155">
        <f>+('[1]тарифы (НВВ) население на 4,2%'!CM288+'[1]тарифы (НВВ) население на 4,2%'!CM289+'[1]тарифы (НВВ) население на 4,2%'!CM290)*1.042</f>
        <v>28642.687081178501</v>
      </c>
      <c r="DX234" s="157"/>
      <c r="DY234" s="158">
        <f t="shared" si="914"/>
        <v>41.336860234528721</v>
      </c>
      <c r="DZ234" s="119">
        <f t="shared" si="915"/>
        <v>0</v>
      </c>
      <c r="EA234" s="120">
        <f t="shared" si="916"/>
        <v>0</v>
      </c>
      <c r="EB234" s="121"/>
      <c r="EC234" s="122">
        <f t="shared" si="988"/>
        <v>0</v>
      </c>
      <c r="ED234" s="123">
        <f t="shared" si="989"/>
        <v>0</v>
      </c>
      <c r="EE234" s="102">
        <v>237.44</v>
      </c>
      <c r="EF234" s="102">
        <v>253.45</v>
      </c>
      <c r="EG234" s="107">
        <f t="shared" si="917"/>
        <v>106.74275606469001</v>
      </c>
      <c r="EH234" s="102">
        <v>128.03</v>
      </c>
      <c r="EI234" s="107">
        <v>138.84</v>
      </c>
      <c r="EJ234" s="107">
        <f t="shared" si="918"/>
        <v>108.44333359368899</v>
      </c>
      <c r="EK234" s="124" t="s">
        <v>158</v>
      </c>
      <c r="EL234" s="121">
        <v>129.57794999999999</v>
      </c>
      <c r="EM234" s="120">
        <v>98.359499999999997</v>
      </c>
      <c r="EN234" s="155">
        <f t="shared" si="891"/>
        <v>11573.078796610171</v>
      </c>
      <c r="EO234" s="156">
        <f t="shared" si="892"/>
        <v>24929.215274999999</v>
      </c>
      <c r="EP234" s="108"/>
      <c r="EQ234" s="125">
        <f t="shared" si="888"/>
        <v>46.423758906747906</v>
      </c>
      <c r="ER234" s="113"/>
      <c r="ES234" s="118">
        <f t="shared" si="1017"/>
        <v>30766.988447999996</v>
      </c>
      <c r="ET234" s="118"/>
      <c r="EU234" s="119">
        <f t="shared" si="893"/>
        <v>32841.531427499998</v>
      </c>
      <c r="EV234" s="158"/>
      <c r="EW234" s="26"/>
      <c r="EX234" s="26">
        <f t="shared" si="1010"/>
        <v>0</v>
      </c>
      <c r="EY234" s="26">
        <f t="shared" si="951"/>
        <v>0</v>
      </c>
      <c r="EZ234" s="26"/>
      <c r="FA234" s="26"/>
      <c r="FB234" s="26"/>
      <c r="FC234" s="26"/>
      <c r="FD234" s="26"/>
      <c r="FE234" s="93"/>
      <c r="FF234" s="93"/>
      <c r="FG234" s="26"/>
      <c r="FH234" s="26"/>
      <c r="FI234" s="26"/>
      <c r="FJ234" s="126">
        <f t="shared" si="894"/>
        <v>12682.47393</v>
      </c>
      <c r="FK234" s="112">
        <f t="shared" si="895"/>
        <v>13356.136478389828</v>
      </c>
      <c r="FL234" s="112">
        <f t="shared" si="896"/>
        <v>26038.610408389828</v>
      </c>
      <c r="FM234" s="121">
        <v>117.556</v>
      </c>
      <c r="FN234" s="120">
        <v>86.704999999999998</v>
      </c>
      <c r="FO234" s="151">
        <v>264.45999999999998</v>
      </c>
      <c r="FP234" s="151">
        <v>270.75</v>
      </c>
      <c r="FQ234" s="151"/>
      <c r="FR234" s="151">
        <v>179.64</v>
      </c>
      <c r="FS234" s="151">
        <v>188.62</v>
      </c>
      <c r="FT234" s="151"/>
      <c r="FU234" s="155" t="s">
        <v>631</v>
      </c>
      <c r="FV234" s="121"/>
      <c r="FW234" s="121"/>
      <c r="FX234" s="121"/>
      <c r="FY234" s="121"/>
      <c r="FZ234" s="121"/>
      <c r="GA234" s="121"/>
      <c r="GB234" s="121"/>
      <c r="GC234" s="222"/>
      <c r="GD234" s="222"/>
      <c r="GE234" s="223"/>
      <c r="GF234" s="223"/>
      <c r="GG234" s="223"/>
      <c r="GH234" s="223"/>
      <c r="GI234" s="223"/>
      <c r="GJ234" s="223"/>
      <c r="GK234" s="223"/>
      <c r="GL234" s="223"/>
      <c r="GM234" s="121"/>
      <c r="GN234" s="121"/>
      <c r="GO234" s="151">
        <v>270.75</v>
      </c>
      <c r="GP234" s="151">
        <v>281.04000000000002</v>
      </c>
      <c r="GQ234" s="151"/>
      <c r="GR234" s="151">
        <v>188.62</v>
      </c>
      <c r="GS234" s="151">
        <v>195.79</v>
      </c>
      <c r="GT234" s="151"/>
      <c r="GU234" s="155" t="s">
        <v>631</v>
      </c>
      <c r="GV234" s="121"/>
      <c r="GW234" s="121"/>
      <c r="GX234" s="121"/>
      <c r="GY234" s="121"/>
      <c r="GZ234" s="224"/>
      <c r="HA234" s="151">
        <v>281.04000000000002</v>
      </c>
      <c r="HB234" s="151">
        <v>292.27999999999997</v>
      </c>
      <c r="HC234" s="151"/>
      <c r="HD234" s="151">
        <v>195.79</v>
      </c>
      <c r="HE234" s="151">
        <v>203.62</v>
      </c>
      <c r="HF234" s="94"/>
      <c r="HG234" s="155" t="s">
        <v>631</v>
      </c>
    </row>
    <row r="235" spans="2:215" ht="15.75">
      <c r="B235" s="10" t="s">
        <v>370</v>
      </c>
      <c r="C235" s="81" t="s">
        <v>371</v>
      </c>
      <c r="D235" s="73"/>
      <c r="E235" s="73"/>
      <c r="F235" s="74"/>
      <c r="G235" s="74"/>
      <c r="H235" s="74"/>
      <c r="I235" s="73"/>
      <c r="J235" s="74"/>
      <c r="K235" s="74"/>
      <c r="L235" s="74"/>
      <c r="M235" s="143"/>
      <c r="N235" s="191"/>
      <c r="O235" s="74"/>
      <c r="P235" s="74"/>
      <c r="Q235" s="74"/>
      <c r="R235" s="191"/>
      <c r="S235" s="74"/>
      <c r="T235" s="74"/>
      <c r="U235" s="74"/>
      <c r="V235" s="22"/>
      <c r="W235" s="22"/>
      <c r="X235" s="52"/>
      <c r="Y235" s="22"/>
      <c r="Z235" s="22"/>
      <c r="AA235" s="22"/>
      <c r="AB235" s="22"/>
      <c r="AC235" s="22"/>
      <c r="AD235" s="22"/>
      <c r="AE235" s="22"/>
      <c r="AF235" s="22"/>
      <c r="AG235" s="22">
        <f t="shared" si="889"/>
        <v>0</v>
      </c>
      <c r="AH235" s="22"/>
      <c r="AI235" s="22"/>
      <c r="AJ235" s="52"/>
      <c r="AK235" s="22"/>
      <c r="AL235" s="22"/>
      <c r="AM235" s="22"/>
      <c r="AN235" s="22"/>
      <c r="AO235" s="22"/>
      <c r="AP235" s="22"/>
      <c r="AQ235" s="22"/>
      <c r="AR235" s="22"/>
      <c r="AS235" s="22"/>
      <c r="AT235" s="22"/>
      <c r="AU235" s="22">
        <f t="shared" si="890"/>
        <v>0</v>
      </c>
      <c r="AV235" s="77"/>
      <c r="AW235" s="77"/>
      <c r="AX235" s="78"/>
      <c r="AY235" s="22">
        <f t="shared" si="898"/>
        <v>0</v>
      </c>
      <c r="AZ235" s="22"/>
      <c r="BA235" s="22"/>
      <c r="BB235" s="22"/>
      <c r="BC235" s="22"/>
      <c r="BD235" s="22"/>
      <c r="BE235" s="22">
        <f t="shared" si="924"/>
        <v>0</v>
      </c>
      <c r="BF235" s="22"/>
      <c r="BG235" s="22"/>
      <c r="BH235" s="22">
        <f t="shared" si="925"/>
        <v>0</v>
      </c>
      <c r="BI235" s="22"/>
      <c r="BJ235" s="40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48"/>
      <c r="CF235" s="48"/>
      <c r="CG235" s="48"/>
      <c r="CH235" s="48"/>
      <c r="CI235" s="48"/>
      <c r="CJ235" s="48"/>
      <c r="CK235" s="48"/>
      <c r="CL235" s="48"/>
      <c r="CM235" s="48"/>
      <c r="CN235" s="48"/>
      <c r="CO235" s="48"/>
      <c r="CP235" s="48"/>
      <c r="CQ235" s="48"/>
      <c r="CR235" s="48"/>
      <c r="CS235" s="48"/>
      <c r="CT235" s="48"/>
      <c r="CU235" s="48"/>
      <c r="CV235" s="48"/>
      <c r="CW235" s="19"/>
      <c r="CX235" s="19"/>
      <c r="CY235" s="19"/>
      <c r="CZ235" s="19"/>
      <c r="DA235" s="21"/>
      <c r="DB235" s="21"/>
      <c r="DC235" s="79"/>
      <c r="DD235" s="79"/>
      <c r="DE235" s="79"/>
      <c r="DF235" s="79"/>
      <c r="DG235" s="79"/>
      <c r="DH235" s="51"/>
      <c r="DI235" s="39"/>
      <c r="DJ235" s="80"/>
      <c r="DK235" s="39"/>
      <c r="DL235" s="39"/>
      <c r="DM235" s="48"/>
      <c r="DN235" s="39"/>
      <c r="DO235" s="39"/>
      <c r="DP235" s="39"/>
      <c r="DQ235" s="39"/>
      <c r="DR235" s="39"/>
      <c r="DS235" s="39"/>
      <c r="DT235" s="39"/>
      <c r="DU235" s="19">
        <f t="shared" si="926"/>
        <v>0</v>
      </c>
      <c r="DV235" s="40">
        <f t="shared" si="912"/>
        <v>0</v>
      </c>
      <c r="DW235" s="40">
        <f t="shared" si="913"/>
        <v>0</v>
      </c>
      <c r="DX235" s="46"/>
      <c r="DY235" s="21">
        <f t="shared" si="914"/>
        <v>0</v>
      </c>
      <c r="DZ235" s="19">
        <f t="shared" si="915"/>
        <v>0</v>
      </c>
      <c r="EA235" s="19">
        <f t="shared" si="916"/>
        <v>0</v>
      </c>
      <c r="EB235" s="19"/>
      <c r="EC235" s="48">
        <f t="shared" si="988"/>
        <v>0</v>
      </c>
      <c r="ED235" s="48">
        <f t="shared" si="989"/>
        <v>0</v>
      </c>
      <c r="EE235" s="22"/>
      <c r="EF235" s="22"/>
      <c r="EG235" s="22">
        <f t="shared" si="917"/>
        <v>0</v>
      </c>
      <c r="EH235" s="22"/>
      <c r="EI235" s="22"/>
      <c r="EJ235" s="22">
        <f t="shared" si="918"/>
        <v>0</v>
      </c>
      <c r="EK235" s="40"/>
      <c r="EL235" s="19"/>
      <c r="EM235" s="19"/>
      <c r="EN235" s="40">
        <f t="shared" si="891"/>
        <v>0</v>
      </c>
      <c r="EO235" s="40">
        <f t="shared" si="892"/>
        <v>0</v>
      </c>
      <c r="EP235" s="40"/>
      <c r="EQ235" s="21">
        <f t="shared" ref="EQ235:EQ264" si="1022">+IF(EO235=0,,EN235/EO235*100)</f>
        <v>0</v>
      </c>
      <c r="ER235" s="21"/>
      <c r="ES235" s="21">
        <f t="shared" si="1017"/>
        <v>0</v>
      </c>
      <c r="ET235" s="21"/>
      <c r="EU235" s="19">
        <f t="shared" si="893"/>
        <v>0</v>
      </c>
      <c r="EV235" s="21"/>
      <c r="EW235" s="39"/>
      <c r="EX235" s="39">
        <f t="shared" si="1010"/>
        <v>0</v>
      </c>
      <c r="EY235" s="39">
        <f t="shared" si="951"/>
        <v>0</v>
      </c>
      <c r="EZ235" s="39"/>
      <c r="FA235" s="39"/>
      <c r="FB235" s="39"/>
      <c r="FC235" s="39"/>
      <c r="FD235" s="39"/>
      <c r="FE235" s="39"/>
      <c r="FF235" s="39"/>
      <c r="FG235" s="39"/>
      <c r="FH235" s="39"/>
      <c r="FI235" s="39"/>
      <c r="FJ235" s="19">
        <f t="shared" si="894"/>
        <v>0</v>
      </c>
      <c r="FK235" s="19">
        <f t="shared" si="895"/>
        <v>0</v>
      </c>
      <c r="FL235" s="19">
        <f t="shared" si="896"/>
        <v>0</v>
      </c>
      <c r="FM235" s="19"/>
      <c r="FN235" s="19"/>
      <c r="FO235" s="22"/>
      <c r="FP235" s="22"/>
      <c r="FQ235" s="22"/>
      <c r="FR235" s="22"/>
      <c r="FS235" s="22"/>
      <c r="FT235" s="22"/>
      <c r="FU235" s="40"/>
      <c r="FV235" s="19"/>
      <c r="FW235" s="19"/>
      <c r="FX235" s="19"/>
      <c r="FY235" s="19"/>
      <c r="FZ235" s="19"/>
      <c r="GA235" s="19"/>
      <c r="GB235" s="19"/>
      <c r="GC235" s="20"/>
      <c r="GD235" s="20"/>
      <c r="GE235" s="21"/>
      <c r="GF235" s="21"/>
      <c r="GG235" s="21"/>
      <c r="GH235" s="21"/>
      <c r="GI235" s="21"/>
      <c r="GJ235" s="21"/>
      <c r="GK235" s="21"/>
      <c r="GL235" s="21"/>
      <c r="GM235" s="19"/>
      <c r="GN235" s="19"/>
      <c r="GO235" s="22"/>
      <c r="GP235" s="22"/>
      <c r="GQ235" s="22"/>
      <c r="GR235" s="22"/>
      <c r="GS235" s="22"/>
      <c r="GT235" s="22"/>
      <c r="GU235" s="43"/>
      <c r="GV235" s="19"/>
      <c r="GW235" s="19"/>
      <c r="GX235" s="19"/>
      <c r="GY235" s="19"/>
      <c r="GZ235" s="23"/>
      <c r="HA235" s="22"/>
      <c r="HB235" s="22"/>
      <c r="HC235" s="22"/>
      <c r="HD235" s="22"/>
      <c r="HE235" s="22"/>
      <c r="HF235" s="22"/>
      <c r="HG235" s="233"/>
    </row>
    <row r="236" spans="2:215" ht="15.75">
      <c r="B236" s="10"/>
      <c r="C236" s="184" t="s">
        <v>142</v>
      </c>
      <c r="D236" s="73"/>
      <c r="E236" s="73"/>
      <c r="F236" s="74"/>
      <c r="G236" s="74"/>
      <c r="H236" s="74"/>
      <c r="I236" s="73"/>
      <c r="J236" s="74"/>
      <c r="K236" s="74"/>
      <c r="L236" s="74"/>
      <c r="M236" s="143"/>
      <c r="N236" s="191"/>
      <c r="O236" s="74"/>
      <c r="P236" s="74"/>
      <c r="Q236" s="74"/>
      <c r="R236" s="191"/>
      <c r="S236" s="74"/>
      <c r="T236" s="74"/>
      <c r="U236" s="74"/>
      <c r="V236" s="22"/>
      <c r="W236" s="22"/>
      <c r="X236" s="52"/>
      <c r="Y236" s="22"/>
      <c r="Z236" s="22"/>
      <c r="AA236" s="22"/>
      <c r="AB236" s="22"/>
      <c r="AC236" s="22"/>
      <c r="AD236" s="22">
        <v>58.74</v>
      </c>
      <c r="AE236" s="22">
        <f>+IF(AC236=0,,AF236/AC236*100)</f>
        <v>0</v>
      </c>
      <c r="AF236" s="22">
        <v>58.74</v>
      </c>
      <c r="AG236" s="22">
        <f t="shared" si="889"/>
        <v>100</v>
      </c>
      <c r="AH236" s="22"/>
      <c r="AI236" s="22"/>
      <c r="AJ236" s="52"/>
      <c r="AK236" s="22"/>
      <c r="AL236" s="22"/>
      <c r="AM236" s="22"/>
      <c r="AN236" s="22"/>
      <c r="AO236" s="22"/>
      <c r="AP236" s="22"/>
      <c r="AQ236" s="22"/>
      <c r="AR236" s="22">
        <v>41.15</v>
      </c>
      <c r="AS236" s="22">
        <f t="shared" ref="AS236:AS247" si="1023">+IF(AQ236=0,,AT236/AQ236*100)</f>
        <v>0</v>
      </c>
      <c r="AT236" s="22">
        <v>45.54</v>
      </c>
      <c r="AU236" s="22">
        <f t="shared" si="890"/>
        <v>110.66828675577156</v>
      </c>
      <c r="AV236" s="77"/>
      <c r="AW236" s="77"/>
      <c r="AX236" s="239" t="s">
        <v>372</v>
      </c>
      <c r="AY236" s="22">
        <f t="shared" si="898"/>
        <v>548.94050000000016</v>
      </c>
      <c r="AZ236" s="22">
        <f>+[3]БПр!$AC$1004/1000</f>
        <v>313.5759000000001</v>
      </c>
      <c r="BA236" s="22">
        <f>+[3]БПр!$AB$1004/1000</f>
        <v>36.845500000000001</v>
      </c>
      <c r="BB236" s="22">
        <f>+[3]БПр!$AD$1006/1000</f>
        <v>198.51910000000001</v>
      </c>
      <c r="BC236" s="22">
        <v>58.74</v>
      </c>
      <c r="BD236" s="22">
        <v>61.2</v>
      </c>
      <c r="BE236" s="22">
        <f t="shared" si="924"/>
        <v>104.18794688457611</v>
      </c>
      <c r="BF236" s="22">
        <v>45.54</v>
      </c>
      <c r="BG236" s="22">
        <v>47.45</v>
      </c>
      <c r="BH236" s="22">
        <f t="shared" si="925"/>
        <v>104.19411506368029</v>
      </c>
      <c r="BI236" s="22"/>
      <c r="BJ236" s="241" t="s">
        <v>373</v>
      </c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48"/>
      <c r="CF236" s="48"/>
      <c r="CG236" s="48"/>
      <c r="CH236" s="48"/>
      <c r="CI236" s="48"/>
      <c r="CJ236" s="48"/>
      <c r="CK236" s="48"/>
      <c r="CL236" s="48"/>
      <c r="CM236" s="48"/>
      <c r="CN236" s="48"/>
      <c r="CO236" s="48"/>
      <c r="CP236" s="48"/>
      <c r="CQ236" s="48"/>
      <c r="CR236" s="48"/>
      <c r="CS236" s="48"/>
      <c r="CT236" s="48"/>
      <c r="CU236" s="48"/>
      <c r="CV236" s="48"/>
      <c r="CW236" s="19"/>
      <c r="CX236" s="19"/>
      <c r="CY236" s="19"/>
      <c r="CZ236" s="19"/>
      <c r="DA236" s="21"/>
      <c r="DB236" s="21"/>
      <c r="DC236" s="79"/>
      <c r="DD236" s="79"/>
      <c r="DE236" s="79"/>
      <c r="DF236" s="79"/>
      <c r="DG236" s="79"/>
      <c r="DH236" s="51"/>
      <c r="DI236" s="39"/>
      <c r="DJ236" s="80"/>
      <c r="DK236" s="39"/>
      <c r="DL236" s="39"/>
      <c r="DM236" s="48"/>
      <c r="DN236" s="39"/>
      <c r="DO236" s="39"/>
      <c r="DP236" s="39"/>
      <c r="DQ236" s="39"/>
      <c r="DR236" s="39"/>
      <c r="DS236" s="39"/>
      <c r="DT236" s="39"/>
      <c r="DU236" s="19">
        <f t="shared" si="926"/>
        <v>12101.90380169492</v>
      </c>
      <c r="DV236" s="40">
        <f>+(BG236*AZ236)</f>
        <v>14879.176455000006</v>
      </c>
      <c r="DW236" s="40">
        <f t="shared" si="913"/>
        <v>19190.845080000006</v>
      </c>
      <c r="DX236" s="46"/>
      <c r="DY236" s="21">
        <f t="shared" si="914"/>
        <v>77.532679738562095</v>
      </c>
      <c r="DZ236" s="19">
        <f t="shared" si="915"/>
        <v>32.244764970000013</v>
      </c>
      <c r="EA236" s="19">
        <f t="shared" si="916"/>
        <v>33.595158600000012</v>
      </c>
      <c r="EB236" s="19"/>
      <c r="EC236" s="48">
        <f>+(BC236-BF236)*AZ236</f>
        <v>4139.2018800000023</v>
      </c>
      <c r="ED236" s="48">
        <f>+(BD236-BG236)*AZ236</f>
        <v>4311.6686250000012</v>
      </c>
      <c r="EE236" s="22">
        <v>61.2</v>
      </c>
      <c r="EF236" s="22">
        <v>64.87</v>
      </c>
      <c r="EG236" s="22">
        <f t="shared" si="917"/>
        <v>105.99673202614379</v>
      </c>
      <c r="EH236" s="22">
        <v>47.45</v>
      </c>
      <c r="EI236" s="22">
        <v>51.46</v>
      </c>
      <c r="EJ236" s="22">
        <f t="shared" si="918"/>
        <v>108.45100105374077</v>
      </c>
      <c r="EK236" s="241" t="s">
        <v>374</v>
      </c>
      <c r="EL236" s="19">
        <v>548.94100000000003</v>
      </c>
      <c r="EM236" s="19">
        <v>313.57600000000002</v>
      </c>
      <c r="EN236" s="40">
        <f>+(EI236*EM236)</f>
        <v>16136.620960000002</v>
      </c>
      <c r="EO236" s="40">
        <f t="shared" ref="EO236:EO265" si="1024">+EF236*EM236</f>
        <v>20341.675120000004</v>
      </c>
      <c r="EP236" s="40"/>
      <c r="EQ236" s="21">
        <f t="shared" si="1022"/>
        <v>79.327886542315397</v>
      </c>
      <c r="ER236" s="21"/>
      <c r="ES236" s="21">
        <f t="shared" si="1017"/>
        <v>33595.189200000001</v>
      </c>
      <c r="ET236" s="21"/>
      <c r="EU236" s="19">
        <f t="shared" si="893"/>
        <v>35609.802670000005</v>
      </c>
      <c r="EV236" s="21"/>
      <c r="EW236" s="39"/>
      <c r="EX236" s="39">
        <f t="shared" si="1010"/>
        <v>33595.15860000001</v>
      </c>
      <c r="EY236" s="39">
        <f t="shared" si="951"/>
        <v>35609.770235000011</v>
      </c>
      <c r="EZ236" s="39"/>
      <c r="FA236" s="39"/>
      <c r="FB236" s="39"/>
      <c r="FC236" s="39"/>
      <c r="FD236" s="39"/>
      <c r="FE236" s="39"/>
      <c r="FF236" s="39"/>
      <c r="FG236" s="39"/>
      <c r="FH236" s="39"/>
      <c r="FI236" s="39"/>
      <c r="FJ236" s="19">
        <f>+(EE236-EH236)*EM236</f>
        <v>4311.67</v>
      </c>
      <c r="FK236" s="19">
        <f>+(EF236-EI236)*EM236</f>
        <v>4205.0541600000015</v>
      </c>
      <c r="FL236" s="19">
        <f t="shared" ref="FL236:FL265" si="1025">+FJ236+FK236</f>
        <v>8516.7241600000016</v>
      </c>
      <c r="FM236" s="19">
        <v>553.53689999999995</v>
      </c>
      <c r="FN236" s="19">
        <v>331.11649999999997</v>
      </c>
      <c r="FO236" s="22">
        <v>71.88</v>
      </c>
      <c r="FP236" s="22">
        <v>73.67</v>
      </c>
      <c r="FQ236" s="22"/>
      <c r="FR236" s="22">
        <v>62.74</v>
      </c>
      <c r="FS236" s="22">
        <v>62.74</v>
      </c>
      <c r="FT236" s="22"/>
      <c r="FU236" s="241" t="s">
        <v>680</v>
      </c>
      <c r="FV236" s="19"/>
      <c r="FW236" s="19"/>
      <c r="FX236" s="19"/>
      <c r="FY236" s="19"/>
      <c r="FZ236" s="19"/>
      <c r="GA236" s="19"/>
      <c r="GB236" s="19"/>
      <c r="GC236" s="20"/>
      <c r="GD236" s="20"/>
      <c r="GE236" s="21"/>
      <c r="GF236" s="21"/>
      <c r="GG236" s="21"/>
      <c r="GH236" s="21"/>
      <c r="GI236" s="21"/>
      <c r="GJ236" s="21"/>
      <c r="GK236" s="21"/>
      <c r="GL236" s="21"/>
      <c r="GM236" s="19"/>
      <c r="GN236" s="19"/>
      <c r="GO236" s="22">
        <v>73.03</v>
      </c>
      <c r="GP236" s="22">
        <v>74.06</v>
      </c>
      <c r="GQ236" s="22"/>
      <c r="GR236" s="22">
        <v>65.25</v>
      </c>
      <c r="GS236" s="22">
        <v>67.86</v>
      </c>
      <c r="GT236" s="22"/>
      <c r="GU236" s="241" t="s">
        <v>680</v>
      </c>
      <c r="GV236" s="19"/>
      <c r="GW236" s="19"/>
      <c r="GX236" s="19"/>
      <c r="GY236" s="19"/>
      <c r="GZ236" s="23"/>
      <c r="HA236" s="22" t="s">
        <v>633</v>
      </c>
      <c r="HB236" s="22" t="s">
        <v>633</v>
      </c>
      <c r="HC236" s="22"/>
      <c r="HD236" s="22" t="s">
        <v>633</v>
      </c>
      <c r="HE236" s="22" t="s">
        <v>633</v>
      </c>
      <c r="HF236" s="22"/>
      <c r="HG236" s="241" t="s">
        <v>633</v>
      </c>
    </row>
    <row r="237" spans="2:215" ht="15.75">
      <c r="B237" s="10"/>
      <c r="C237" s="184" t="s">
        <v>257</v>
      </c>
      <c r="D237" s="73"/>
      <c r="E237" s="73"/>
      <c r="F237" s="74"/>
      <c r="G237" s="74"/>
      <c r="H237" s="74"/>
      <c r="I237" s="73"/>
      <c r="J237" s="74"/>
      <c r="K237" s="74"/>
      <c r="L237" s="74"/>
      <c r="M237" s="143"/>
      <c r="N237" s="191"/>
      <c r="O237" s="74"/>
      <c r="P237" s="74"/>
      <c r="Q237" s="74"/>
      <c r="R237" s="191"/>
      <c r="S237" s="74"/>
      <c r="T237" s="74"/>
      <c r="U237" s="74"/>
      <c r="V237" s="22"/>
      <c r="W237" s="22"/>
      <c r="X237" s="52"/>
      <c r="Y237" s="22"/>
      <c r="Z237" s="22"/>
      <c r="AA237" s="22"/>
      <c r="AB237" s="22"/>
      <c r="AC237" s="22"/>
      <c r="AD237" s="22">
        <v>55.09</v>
      </c>
      <c r="AE237" s="22">
        <f>+IF(AC237=0,,AF237/AC237*100)</f>
        <v>0</v>
      </c>
      <c r="AF237" s="22">
        <v>55.09</v>
      </c>
      <c r="AG237" s="22">
        <f t="shared" si="889"/>
        <v>100</v>
      </c>
      <c r="AH237" s="22"/>
      <c r="AI237" s="22"/>
      <c r="AJ237" s="52"/>
      <c r="AK237" s="22"/>
      <c r="AL237" s="22"/>
      <c r="AM237" s="22"/>
      <c r="AN237" s="22"/>
      <c r="AO237" s="22"/>
      <c r="AP237" s="22"/>
      <c r="AQ237" s="22"/>
      <c r="AR237" s="22">
        <v>24.65</v>
      </c>
      <c r="AS237" s="22">
        <f t="shared" si="1023"/>
        <v>0</v>
      </c>
      <c r="AT237" s="22">
        <v>27.28</v>
      </c>
      <c r="AU237" s="22">
        <f t="shared" si="890"/>
        <v>110.66937119675457</v>
      </c>
      <c r="AV237" s="77"/>
      <c r="AW237" s="77"/>
      <c r="AX237" s="239"/>
      <c r="AY237" s="22">
        <f t="shared" si="898"/>
        <v>391.09890999999993</v>
      </c>
      <c r="AZ237" s="22">
        <f>+[4]БПр!$O$1002/1000</f>
        <v>245.36239999999995</v>
      </c>
      <c r="BA237" s="22">
        <f>+[4]БПр!$N$1002/1000</f>
        <v>64.638120000000015</v>
      </c>
      <c r="BB237" s="22">
        <f>+[4]БПр!$P$1002/1000</f>
        <v>81.098389999999981</v>
      </c>
      <c r="BC237" s="22">
        <v>55.09</v>
      </c>
      <c r="BD237" s="22">
        <v>55.09</v>
      </c>
      <c r="BE237" s="22">
        <f t="shared" si="924"/>
        <v>100</v>
      </c>
      <c r="BF237" s="22">
        <v>27.28</v>
      </c>
      <c r="BG237" s="22">
        <v>28.42</v>
      </c>
      <c r="BH237" s="22">
        <f t="shared" si="925"/>
        <v>104.17888563049853</v>
      </c>
      <c r="BI237" s="22"/>
      <c r="BJ237" s="241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48"/>
      <c r="CF237" s="48"/>
      <c r="CG237" s="48"/>
      <c r="CH237" s="48"/>
      <c r="CI237" s="48"/>
      <c r="CJ237" s="48"/>
      <c r="CK237" s="48"/>
      <c r="CL237" s="48"/>
      <c r="CM237" s="48"/>
      <c r="CN237" s="48"/>
      <c r="CO237" s="48"/>
      <c r="CP237" s="48"/>
      <c r="CQ237" s="48"/>
      <c r="CR237" s="48"/>
      <c r="CS237" s="48"/>
      <c r="CT237" s="48"/>
      <c r="CU237" s="48"/>
      <c r="CV237" s="48"/>
      <c r="CW237" s="19"/>
      <c r="CX237" s="19"/>
      <c r="CY237" s="19"/>
      <c r="CZ237" s="19"/>
      <c r="DA237" s="21"/>
      <c r="DB237" s="21"/>
      <c r="DC237" s="79"/>
      <c r="DD237" s="79"/>
      <c r="DE237" s="79"/>
      <c r="DF237" s="79"/>
      <c r="DG237" s="79"/>
      <c r="DH237" s="51"/>
      <c r="DI237" s="39"/>
      <c r="DJ237" s="80"/>
      <c r="DK237" s="39"/>
      <c r="DL237" s="39"/>
      <c r="DM237" s="48"/>
      <c r="DN237" s="39"/>
      <c r="DO237" s="39"/>
      <c r="DP237" s="39"/>
      <c r="DQ237" s="39"/>
      <c r="DR237" s="39"/>
      <c r="DS237" s="39"/>
      <c r="DT237" s="39"/>
      <c r="DU237" s="19">
        <f t="shared" si="926"/>
        <v>5672.445993220339</v>
      </c>
      <c r="DV237" s="40">
        <f>+(BG237*AZ237)</f>
        <v>6973.1994079999986</v>
      </c>
      <c r="DW237" s="40">
        <f t="shared" si="913"/>
        <v>13517.014615999999</v>
      </c>
      <c r="DX237" s="46"/>
      <c r="DY237" s="21">
        <f t="shared" si="914"/>
        <v>51.588310038119431</v>
      </c>
      <c r="DZ237" s="19">
        <f t="shared" si="915"/>
        <v>21.545638951899996</v>
      </c>
      <c r="EA237" s="19">
        <f t="shared" si="916"/>
        <v>21.545638951899996</v>
      </c>
      <c r="EB237" s="19"/>
      <c r="EC237" s="48">
        <f>+(BC237-BF237)*AZ237</f>
        <v>6823.5283439999994</v>
      </c>
      <c r="ED237" s="48">
        <f t="shared" ref="ED237" si="1026">+(BD237-BG237)*AZ237</f>
        <v>6543.8152079999991</v>
      </c>
      <c r="EE237" s="22">
        <v>55.09</v>
      </c>
      <c r="EF237" s="22">
        <v>58.4</v>
      </c>
      <c r="EG237" s="22">
        <f t="shared" si="917"/>
        <v>106.00834997277182</v>
      </c>
      <c r="EH237" s="22">
        <v>28.42</v>
      </c>
      <c r="EI237" s="22">
        <v>30.82</v>
      </c>
      <c r="EJ237" s="22">
        <f t="shared" si="918"/>
        <v>108.44475721323012</v>
      </c>
      <c r="EK237" s="241"/>
      <c r="EL237" s="19">
        <v>391.09800000000001</v>
      </c>
      <c r="EM237" s="19">
        <v>245.36199999999999</v>
      </c>
      <c r="EN237" s="40">
        <f>+(EI237*EM237)</f>
        <v>7562.0568400000002</v>
      </c>
      <c r="EO237" s="40">
        <f t="shared" si="1024"/>
        <v>14329.140799999999</v>
      </c>
      <c r="EP237" s="40"/>
      <c r="EQ237" s="21">
        <f t="shared" si="1022"/>
        <v>52.773972602739725</v>
      </c>
      <c r="ER237" s="21"/>
      <c r="ES237" s="21">
        <f t="shared" si="1017"/>
        <v>21545.588820000001</v>
      </c>
      <c r="ET237" s="21"/>
      <c r="EU237" s="19">
        <f t="shared" ref="EU237:EU266" si="1027">+EF237*EL237</f>
        <v>22840.123200000002</v>
      </c>
      <c r="EV237" s="21"/>
      <c r="EW237" s="39"/>
      <c r="EX237" s="39">
        <f t="shared" si="1010"/>
        <v>21545.638951899997</v>
      </c>
      <c r="EY237" s="39">
        <f t="shared" si="951"/>
        <v>22840.176343999996</v>
      </c>
      <c r="EZ237" s="39"/>
      <c r="FA237" s="39"/>
      <c r="FB237" s="39"/>
      <c r="FC237" s="39"/>
      <c r="FD237" s="39"/>
      <c r="FE237" s="39"/>
      <c r="FF237" s="39"/>
      <c r="FG237" s="39"/>
      <c r="FH237" s="39"/>
      <c r="FI237" s="39"/>
      <c r="FJ237" s="19">
        <f>+(EE237-EH237)*EM237</f>
        <v>6543.8045400000001</v>
      </c>
      <c r="FK237" s="19">
        <f>+(EF237-EI237)*EM237</f>
        <v>6767.083959999999</v>
      </c>
      <c r="FL237" s="19">
        <f t="shared" si="1025"/>
        <v>13310.888499999999</v>
      </c>
      <c r="FM237" s="19">
        <v>367.58749999999998</v>
      </c>
      <c r="FN237" s="19">
        <v>212.61</v>
      </c>
      <c r="FO237" s="22">
        <v>71.010000000000005</v>
      </c>
      <c r="FP237" s="22">
        <v>72.790000000000006</v>
      </c>
      <c r="FQ237" s="22"/>
      <c r="FR237" s="22">
        <v>37.58</v>
      </c>
      <c r="FS237" s="22">
        <v>37.58</v>
      </c>
      <c r="FT237" s="22"/>
      <c r="FU237" s="241"/>
      <c r="FV237" s="19"/>
      <c r="FW237" s="19"/>
      <c r="FX237" s="19"/>
      <c r="FY237" s="19"/>
      <c r="FZ237" s="19"/>
      <c r="GA237" s="19"/>
      <c r="GB237" s="19"/>
      <c r="GC237" s="20"/>
      <c r="GD237" s="20"/>
      <c r="GE237" s="21"/>
      <c r="GF237" s="21"/>
      <c r="GG237" s="21"/>
      <c r="GH237" s="21"/>
      <c r="GI237" s="21"/>
      <c r="GJ237" s="21"/>
      <c r="GK237" s="21"/>
      <c r="GL237" s="21"/>
      <c r="GM237" s="19"/>
      <c r="GN237" s="19"/>
      <c r="GO237" s="22">
        <v>76.94</v>
      </c>
      <c r="GP237" s="22">
        <v>78.44</v>
      </c>
      <c r="GQ237" s="22"/>
      <c r="GR237" s="22">
        <v>39.08</v>
      </c>
      <c r="GS237" s="22">
        <v>40.65</v>
      </c>
      <c r="GT237" s="22"/>
      <c r="GU237" s="241"/>
      <c r="GV237" s="19"/>
      <c r="GW237" s="19"/>
      <c r="GX237" s="19"/>
      <c r="GY237" s="19"/>
      <c r="GZ237" s="23"/>
      <c r="HA237" s="22" t="s">
        <v>633</v>
      </c>
      <c r="HB237" s="22" t="s">
        <v>633</v>
      </c>
      <c r="HC237" s="22"/>
      <c r="HD237" s="22" t="s">
        <v>633</v>
      </c>
      <c r="HE237" s="22" t="s">
        <v>633</v>
      </c>
      <c r="HF237" s="22"/>
      <c r="HG237" s="241"/>
    </row>
    <row r="238" spans="2:215" ht="15.75">
      <c r="B238" s="10" t="s">
        <v>375</v>
      </c>
      <c r="C238" s="81" t="s">
        <v>376</v>
      </c>
      <c r="D238" s="46"/>
      <c r="E238" s="46"/>
      <c r="F238" s="46"/>
      <c r="G238" s="46"/>
      <c r="H238" s="46"/>
      <c r="I238" s="46"/>
      <c r="J238" s="46"/>
      <c r="K238" s="46"/>
      <c r="L238" s="46"/>
      <c r="M238" s="46">
        <f>+N238+R238</f>
        <v>0</v>
      </c>
      <c r="N238" s="46">
        <f>+E238</f>
        <v>0</v>
      </c>
      <c r="O238" s="46"/>
      <c r="P238" s="46"/>
      <c r="Q238" s="46"/>
      <c r="R238" s="46">
        <f>+I238</f>
        <v>0</v>
      </c>
      <c r="S238" s="46"/>
      <c r="T238" s="46"/>
      <c r="U238" s="46"/>
      <c r="V238" s="52"/>
      <c r="W238" s="52"/>
      <c r="X238" s="52">
        <f t="shared" si="927"/>
        <v>0</v>
      </c>
      <c r="Y238" s="52"/>
      <c r="Z238" s="22">
        <f t="shared" si="852"/>
        <v>0</v>
      </c>
      <c r="AA238" s="52"/>
      <c r="AB238" s="22">
        <f t="shared" si="853"/>
        <v>0</v>
      </c>
      <c r="AC238" s="22"/>
      <c r="AD238" s="22"/>
      <c r="AE238" s="22">
        <f t="shared" ref="AE238:AE283" si="1028">+IF(AC238=0,,AF238/AC238*100)</f>
        <v>0</v>
      </c>
      <c r="AF238" s="22"/>
      <c r="AG238" s="22">
        <f t="shared" ref="AG238:AG267" si="1029">+IF(AD238=0,,AF238/AD238*100)</f>
        <v>0</v>
      </c>
      <c r="AH238" s="52"/>
      <c r="AI238" s="52"/>
      <c r="AJ238" s="52">
        <f t="shared" si="854"/>
        <v>0</v>
      </c>
      <c r="AK238" s="52"/>
      <c r="AL238" s="22">
        <f t="shared" si="855"/>
        <v>0</v>
      </c>
      <c r="AM238" s="52"/>
      <c r="AN238" s="22">
        <f t="shared" si="856"/>
        <v>0</v>
      </c>
      <c r="AO238" s="22">
        <f t="shared" si="928"/>
        <v>0</v>
      </c>
      <c r="AP238" s="22">
        <f t="shared" si="857"/>
        <v>0</v>
      </c>
      <c r="AQ238" s="22"/>
      <c r="AR238" s="22"/>
      <c r="AS238" s="22">
        <f t="shared" si="1023"/>
        <v>0</v>
      </c>
      <c r="AT238" s="22"/>
      <c r="AU238" s="22">
        <f t="shared" ref="AU238:AU267" si="1030">+IF(AR238=0,,AT238/AR238*100)</f>
        <v>0</v>
      </c>
      <c r="AV238" s="77"/>
      <c r="AW238" s="77">
        <f>+CY238/$CY$220*100</f>
        <v>0</v>
      </c>
      <c r="AX238" s="78"/>
      <c r="AY238" s="22">
        <f t="shared" si="898"/>
        <v>0</v>
      </c>
      <c r="AZ238" s="22"/>
      <c r="BA238" s="22"/>
      <c r="BB238" s="22"/>
      <c r="BC238" s="22"/>
      <c r="BD238" s="22"/>
      <c r="BE238" s="22">
        <f t="shared" si="924"/>
        <v>0</v>
      </c>
      <c r="BF238" s="22"/>
      <c r="BG238" s="22"/>
      <c r="BH238" s="22">
        <f t="shared" si="925"/>
        <v>0</v>
      </c>
      <c r="BI238" s="22"/>
      <c r="BJ238" s="40"/>
      <c r="BK238" s="19">
        <f t="shared" si="979"/>
        <v>0</v>
      </c>
      <c r="BL238" s="19">
        <f t="shared" si="1003"/>
        <v>0</v>
      </c>
      <c r="BM238" s="19">
        <f t="shared" si="1004"/>
        <v>0</v>
      </c>
      <c r="BN238" s="19">
        <f t="shared" si="1005"/>
        <v>0</v>
      </c>
      <c r="BO238" s="19">
        <f t="shared" si="980"/>
        <v>0</v>
      </c>
      <c r="BP238" s="19">
        <f t="shared" si="1006"/>
        <v>0</v>
      </c>
      <c r="BQ238" s="19">
        <f t="shared" si="872"/>
        <v>0</v>
      </c>
      <c r="BR238" s="19">
        <f t="shared" si="1007"/>
        <v>0</v>
      </c>
      <c r="BS238" s="19">
        <f t="shared" si="981"/>
        <v>0</v>
      </c>
      <c r="BT238" s="19">
        <f t="shared" si="1008"/>
        <v>0</v>
      </c>
      <c r="BU238" s="19">
        <f t="shared" si="873"/>
        <v>0</v>
      </c>
      <c r="BV238" s="19">
        <f t="shared" si="1009"/>
        <v>0</v>
      </c>
      <c r="BW238" s="19">
        <f t="shared" si="982"/>
        <v>0</v>
      </c>
      <c r="BX238" s="19">
        <f t="shared" si="996"/>
        <v>0</v>
      </c>
      <c r="BY238" s="19">
        <f t="shared" si="997"/>
        <v>0</v>
      </c>
      <c r="BZ238" s="19">
        <f t="shared" si="998"/>
        <v>0</v>
      </c>
      <c r="CA238" s="19">
        <f t="shared" si="983"/>
        <v>0</v>
      </c>
      <c r="CB238" s="19">
        <f t="shared" si="984"/>
        <v>0</v>
      </c>
      <c r="CC238" s="19">
        <f t="shared" si="985"/>
        <v>0</v>
      </c>
      <c r="CD238" s="19">
        <f t="shared" si="906"/>
        <v>0</v>
      </c>
      <c r="CE238" s="48">
        <f t="shared" si="952"/>
        <v>0</v>
      </c>
      <c r="CF238" s="48">
        <f t="shared" si="953"/>
        <v>0</v>
      </c>
      <c r="CG238" s="48">
        <f t="shared" si="954"/>
        <v>0</v>
      </c>
      <c r="CH238" s="48">
        <f t="shared" si="955"/>
        <v>0</v>
      </c>
      <c r="CI238" s="48">
        <f t="shared" si="956"/>
        <v>0</v>
      </c>
      <c r="CJ238" s="48">
        <f t="shared" si="957"/>
        <v>0</v>
      </c>
      <c r="CK238" s="48">
        <f t="shared" si="958"/>
        <v>0</v>
      </c>
      <c r="CL238" s="48">
        <f t="shared" si="959"/>
        <v>0</v>
      </c>
      <c r="CM238" s="48">
        <f t="shared" si="960"/>
        <v>0</v>
      </c>
      <c r="CN238" s="48">
        <f t="shared" si="929"/>
        <v>0</v>
      </c>
      <c r="CO238" s="48">
        <f t="shared" si="961"/>
        <v>0</v>
      </c>
      <c r="CP238" s="48">
        <f t="shared" si="962"/>
        <v>0</v>
      </c>
      <c r="CQ238" s="48">
        <f t="shared" si="963"/>
        <v>0</v>
      </c>
      <c r="CR238" s="48">
        <f t="shared" si="964"/>
        <v>0</v>
      </c>
      <c r="CS238" s="48">
        <f t="shared" si="965"/>
        <v>0</v>
      </c>
      <c r="CT238" s="48">
        <f t="shared" si="966"/>
        <v>0</v>
      </c>
      <c r="CU238" s="48">
        <f t="shared" si="930"/>
        <v>0</v>
      </c>
      <c r="CV238" s="48">
        <f t="shared" si="967"/>
        <v>0</v>
      </c>
      <c r="CW238" s="19">
        <f t="shared" si="986"/>
        <v>0</v>
      </c>
      <c r="CX238" s="19">
        <f t="shared" si="987"/>
        <v>0</v>
      </c>
      <c r="CY238" s="19">
        <f t="shared" si="999"/>
        <v>0</v>
      </c>
      <c r="CZ238" s="19">
        <f t="shared" si="1000"/>
        <v>0</v>
      </c>
      <c r="DA238" s="21">
        <f t="shared" si="968"/>
        <v>0</v>
      </c>
      <c r="DB238" s="21">
        <f t="shared" si="969"/>
        <v>0</v>
      </c>
      <c r="DC238" s="79">
        <f t="shared" si="970"/>
        <v>0</v>
      </c>
      <c r="DD238" s="79">
        <f t="shared" si="970"/>
        <v>0</v>
      </c>
      <c r="DE238" s="79">
        <f t="shared" ref="DE238:DF247" si="1031">+(O238+S238)*AC238/1000</f>
        <v>0</v>
      </c>
      <c r="DF238" s="79">
        <f t="shared" si="1031"/>
        <v>0</v>
      </c>
      <c r="DG238" s="79">
        <f t="shared" si="874"/>
        <v>0</v>
      </c>
      <c r="DH238" s="51">
        <f t="shared" si="972"/>
        <v>0</v>
      </c>
      <c r="DI238" s="39"/>
      <c r="DJ238" s="80">
        <f t="shared" si="973"/>
        <v>0</v>
      </c>
      <c r="DK238" s="39">
        <f t="shared" si="974"/>
        <v>0</v>
      </c>
      <c r="DL238" s="39">
        <f t="shared" si="975"/>
        <v>0</v>
      </c>
      <c r="DM238" s="48">
        <f>+AT238-'[2]тарифы (12-13) население 15%'!AP282</f>
        <v>0</v>
      </c>
      <c r="DN238" s="39"/>
      <c r="DO238" s="39"/>
      <c r="DP238" s="39"/>
      <c r="DQ238" s="39"/>
      <c r="DR238" s="39"/>
      <c r="DS238" s="39"/>
      <c r="DT238" s="39"/>
      <c r="DU238" s="19">
        <f t="shared" si="926"/>
        <v>0</v>
      </c>
      <c r="DV238" s="40">
        <f t="shared" si="912"/>
        <v>0</v>
      </c>
      <c r="DW238" s="40">
        <f t="shared" si="913"/>
        <v>0</v>
      </c>
      <c r="DX238" s="46"/>
      <c r="DY238" s="21">
        <f t="shared" ref="DY238:DY272" si="1032">+IF(DW238=0,,DV238/DW238*100)</f>
        <v>0</v>
      </c>
      <c r="DZ238" s="19">
        <f t="shared" si="915"/>
        <v>0</v>
      </c>
      <c r="EA238" s="19">
        <f t="shared" si="916"/>
        <v>0</v>
      </c>
      <c r="EB238" s="19"/>
      <c r="EC238" s="48">
        <f t="shared" si="988"/>
        <v>0</v>
      </c>
      <c r="ED238" s="48">
        <f t="shared" si="989"/>
        <v>0</v>
      </c>
      <c r="EE238" s="22"/>
      <c r="EF238" s="22"/>
      <c r="EG238" s="22">
        <f t="shared" ref="EG238:EG272" si="1033">+IF(EE238=0,,EF238/EE238*100)</f>
        <v>0</v>
      </c>
      <c r="EH238" s="22"/>
      <c r="EI238" s="22"/>
      <c r="EJ238" s="22">
        <f t="shared" ref="EJ238:EJ272" si="1034">+IF(EH238=0,,EI238/EH238*100)</f>
        <v>0</v>
      </c>
      <c r="EK238" s="40"/>
      <c r="EL238" s="19"/>
      <c r="EM238" s="19"/>
      <c r="EN238" s="40">
        <f t="shared" ref="EN238:EN267" si="1035">+(EI238*EM238)/1.18</f>
        <v>0</v>
      </c>
      <c r="EO238" s="40">
        <f t="shared" si="1024"/>
        <v>0</v>
      </c>
      <c r="EP238" s="40"/>
      <c r="EQ238" s="21">
        <f t="shared" si="1022"/>
        <v>0</v>
      </c>
      <c r="ER238" s="21"/>
      <c r="ES238" s="21">
        <f t="shared" si="1017"/>
        <v>0</v>
      </c>
      <c r="ET238" s="21"/>
      <c r="EU238" s="19">
        <f t="shared" si="1027"/>
        <v>0</v>
      </c>
      <c r="EV238" s="21"/>
      <c r="EW238" s="39"/>
      <c r="EX238" s="39">
        <f t="shared" si="1010"/>
        <v>0</v>
      </c>
      <c r="EY238" s="39">
        <f t="shared" si="951"/>
        <v>0</v>
      </c>
      <c r="EZ238" s="39"/>
      <c r="FA238" s="39"/>
      <c r="FB238" s="39"/>
      <c r="FC238" s="39"/>
      <c r="FD238" s="39"/>
      <c r="FE238" s="39"/>
      <c r="FF238" s="39"/>
      <c r="FG238" s="39"/>
      <c r="FH238" s="39"/>
      <c r="FI238" s="39"/>
      <c r="FJ238" s="19">
        <f t="shared" ref="FJ238:FJ267" si="1036">+(EE238-EH238/1.18)*EM238</f>
        <v>0</v>
      </c>
      <c r="FK238" s="19">
        <f t="shared" ref="FK238:FK267" si="1037">+(EF238-EI238/1.18)*EM238</f>
        <v>0</v>
      </c>
      <c r="FL238" s="19">
        <f t="shared" si="1025"/>
        <v>0</v>
      </c>
      <c r="FM238" s="19"/>
      <c r="FN238" s="19"/>
      <c r="FO238" s="22"/>
      <c r="FP238" s="22"/>
      <c r="FQ238" s="22"/>
      <c r="FR238" s="22"/>
      <c r="FS238" s="22"/>
      <c r="FT238" s="22"/>
      <c r="FU238" s="40"/>
      <c r="FV238" s="19"/>
      <c r="FW238" s="19"/>
      <c r="FX238" s="19"/>
      <c r="FY238" s="19"/>
      <c r="FZ238" s="19"/>
      <c r="GA238" s="19"/>
      <c r="GB238" s="19"/>
      <c r="GC238" s="20"/>
      <c r="GD238" s="20"/>
      <c r="GE238" s="21"/>
      <c r="GF238" s="21"/>
      <c r="GG238" s="21"/>
      <c r="GH238" s="21"/>
      <c r="GI238" s="21"/>
      <c r="GJ238" s="21"/>
      <c r="GK238" s="21"/>
      <c r="GL238" s="21"/>
      <c r="GM238" s="19"/>
      <c r="GN238" s="19"/>
      <c r="GO238" s="22"/>
      <c r="GP238" s="22"/>
      <c r="GQ238" s="22"/>
      <c r="GR238" s="22"/>
      <c r="GS238" s="22"/>
      <c r="GT238" s="22"/>
      <c r="GU238" s="43"/>
      <c r="GV238" s="19"/>
      <c r="GW238" s="19"/>
      <c r="GX238" s="19"/>
      <c r="GY238" s="19"/>
      <c r="GZ238" s="23"/>
      <c r="HA238" s="22"/>
      <c r="HB238" s="22"/>
      <c r="HC238" s="22"/>
      <c r="HD238" s="22"/>
      <c r="HE238" s="22"/>
      <c r="HF238" s="22"/>
      <c r="HG238" s="233"/>
    </row>
    <row r="239" spans="2:215" ht="15.75">
      <c r="B239" s="10"/>
      <c r="C239" s="161" t="s">
        <v>681</v>
      </c>
      <c r="D239" s="73">
        <f>+'[2]2012(объемы годовые)'!I242</f>
        <v>1420.7</v>
      </c>
      <c r="E239" s="46">
        <f>+'[2]2012(объемы годовые)'!M242</f>
        <v>0</v>
      </c>
      <c r="F239" s="46"/>
      <c r="G239" s="46"/>
      <c r="H239" s="46"/>
      <c r="I239" s="73">
        <f>+'[2]2012(объемы годовые)'!Q242+'[2]2012(объемы годовые)'!U242+'[2]2012(объемы годовые)'!Y242</f>
        <v>1420.7</v>
      </c>
      <c r="J239" s="74">
        <f>+I239*$J$3</f>
        <v>785.07881999999995</v>
      </c>
      <c r="K239" s="74">
        <f>+I239*$K$3</f>
        <v>211.82637000000003</v>
      </c>
      <c r="L239" s="74">
        <f>+I239*$L$3</f>
        <v>423.79481000000004</v>
      </c>
      <c r="M239" s="46">
        <f>+'[5]тарифы (НВВ) население на 12%'!$M$295</f>
        <v>1420.7</v>
      </c>
      <c r="N239" s="46">
        <f t="shared" ref="N239:N240" si="1038">+E239</f>
        <v>0</v>
      </c>
      <c r="O239" s="74">
        <v>0</v>
      </c>
      <c r="P239" s="74"/>
      <c r="Q239" s="74">
        <v>0</v>
      </c>
      <c r="R239" s="46">
        <f t="shared" ref="R239:R240" si="1039">+I239</f>
        <v>1420.7</v>
      </c>
      <c r="S239" s="74">
        <v>837.64472000000001</v>
      </c>
      <c r="T239" s="74"/>
      <c r="U239" s="74">
        <v>583.05528000000004</v>
      </c>
      <c r="V239" s="52">
        <v>8181.56</v>
      </c>
      <c r="W239" s="52">
        <v>8181.56</v>
      </c>
      <c r="X239" s="52">
        <f t="shared" si="927"/>
        <v>100</v>
      </c>
      <c r="Y239" s="52">
        <v>8181.56</v>
      </c>
      <c r="Z239" s="22">
        <f t="shared" si="852"/>
        <v>100</v>
      </c>
      <c r="AA239" s="52">
        <v>8181.56</v>
      </c>
      <c r="AB239" s="22">
        <f t="shared" si="853"/>
        <v>100</v>
      </c>
      <c r="AC239" s="52">
        <v>8181.56</v>
      </c>
      <c r="AD239" s="52">
        <v>8181.56</v>
      </c>
      <c r="AE239" s="22">
        <f t="shared" si="1028"/>
        <v>100</v>
      </c>
      <c r="AF239" s="52">
        <v>8181.56</v>
      </c>
      <c r="AG239" s="22">
        <f t="shared" si="1029"/>
        <v>100</v>
      </c>
      <c r="AH239" s="52"/>
      <c r="AI239" s="52"/>
      <c r="AJ239" s="52">
        <f t="shared" si="854"/>
        <v>0</v>
      </c>
      <c r="AK239" s="52"/>
      <c r="AL239" s="22">
        <f t="shared" si="855"/>
        <v>0</v>
      </c>
      <c r="AM239" s="52"/>
      <c r="AN239" s="22">
        <f t="shared" si="856"/>
        <v>0</v>
      </c>
      <c r="AO239" s="22">
        <f t="shared" si="928"/>
        <v>100</v>
      </c>
      <c r="AP239" s="22">
        <f t="shared" si="857"/>
        <v>0</v>
      </c>
      <c r="AQ239" s="52"/>
      <c r="AR239" s="52"/>
      <c r="AS239" s="22">
        <f t="shared" si="1023"/>
        <v>0</v>
      </c>
      <c r="AT239" s="52"/>
      <c r="AU239" s="22">
        <f t="shared" si="1030"/>
        <v>0</v>
      </c>
      <c r="AV239" s="77"/>
      <c r="AW239" s="77">
        <f>+CY239/$CY$220*100</f>
        <v>0</v>
      </c>
      <c r="AX239" s="78" t="s">
        <v>175</v>
      </c>
      <c r="AY239" s="52">
        <f t="shared" si="898"/>
        <v>1.2206399999999999</v>
      </c>
      <c r="AZ239" s="52">
        <f>+[8]БПр!$BX$314/1000</f>
        <v>0</v>
      </c>
      <c r="BA239" s="22">
        <f>+[8]БПр!$BW$312/1000</f>
        <v>1.2206399999999999</v>
      </c>
      <c r="BB239" s="52"/>
      <c r="BC239" s="52">
        <v>8181.56</v>
      </c>
      <c r="BD239" s="52">
        <v>8181.56</v>
      </c>
      <c r="BE239" s="22">
        <f t="shared" si="924"/>
        <v>100</v>
      </c>
      <c r="BF239" s="52"/>
      <c r="BG239" s="52"/>
      <c r="BH239" s="22">
        <f t="shared" si="925"/>
        <v>0</v>
      </c>
      <c r="BI239" s="22"/>
      <c r="BJ239" s="40" t="s">
        <v>176</v>
      </c>
      <c r="BK239" s="19">
        <f t="shared" si="979"/>
        <v>11623.542292000002</v>
      </c>
      <c r="BL239" s="19">
        <f t="shared" si="1003"/>
        <v>0</v>
      </c>
      <c r="BM239" s="19">
        <f t="shared" si="1004"/>
        <v>0</v>
      </c>
      <c r="BN239" s="19">
        <f t="shared" si="1005"/>
        <v>11623.542292000002</v>
      </c>
      <c r="BO239" s="19">
        <f t="shared" si="980"/>
        <v>11623.542292000002</v>
      </c>
      <c r="BP239" s="19">
        <f t="shared" si="1006"/>
        <v>0</v>
      </c>
      <c r="BQ239" s="19">
        <f t="shared" si="872"/>
        <v>0</v>
      </c>
      <c r="BR239" s="19">
        <f t="shared" si="1007"/>
        <v>11623.542292000002</v>
      </c>
      <c r="BS239" s="19">
        <f t="shared" si="981"/>
        <v>11623.542292000002</v>
      </c>
      <c r="BT239" s="19">
        <f t="shared" si="1008"/>
        <v>0</v>
      </c>
      <c r="BU239" s="19">
        <f t="shared" si="873"/>
        <v>0</v>
      </c>
      <c r="BV239" s="19">
        <f t="shared" si="1009"/>
        <v>11623.542292000002</v>
      </c>
      <c r="BW239" s="19">
        <f t="shared" si="982"/>
        <v>11623.542292000002</v>
      </c>
      <c r="BX239" s="19">
        <f t="shared" si="996"/>
        <v>0</v>
      </c>
      <c r="BY239" s="19">
        <f t="shared" si="997"/>
        <v>0</v>
      </c>
      <c r="BZ239" s="19">
        <f t="shared" si="998"/>
        <v>11623.542292000002</v>
      </c>
      <c r="CA239" s="19">
        <f t="shared" si="983"/>
        <v>11623.542292000002</v>
      </c>
      <c r="CB239" s="19">
        <f t="shared" si="984"/>
        <v>0</v>
      </c>
      <c r="CC239" s="19">
        <f t="shared" si="985"/>
        <v>0</v>
      </c>
      <c r="CD239" s="19">
        <f t="shared" si="906"/>
        <v>11623.542292000002</v>
      </c>
      <c r="CE239" s="48">
        <f t="shared" si="952"/>
        <v>8181.5600000000013</v>
      </c>
      <c r="CF239" s="48">
        <f t="shared" si="953"/>
        <v>8181.5600000000013</v>
      </c>
      <c r="CG239" s="48">
        <f t="shared" si="954"/>
        <v>8181.5600000000013</v>
      </c>
      <c r="CH239" s="48">
        <f t="shared" si="955"/>
        <v>0</v>
      </c>
      <c r="CI239" s="48">
        <f t="shared" si="956"/>
        <v>0</v>
      </c>
      <c r="CJ239" s="48">
        <f t="shared" si="957"/>
        <v>0</v>
      </c>
      <c r="CK239" s="48">
        <f t="shared" si="958"/>
        <v>8181.5600000000013</v>
      </c>
      <c r="CL239" s="48">
        <f t="shared" si="959"/>
        <v>8181.5600000000013</v>
      </c>
      <c r="CM239" s="48">
        <f t="shared" si="960"/>
        <v>8181.5600000000013</v>
      </c>
      <c r="CN239" s="48">
        <f t="shared" si="929"/>
        <v>8181.5600000000013</v>
      </c>
      <c r="CO239" s="48">
        <f t="shared" si="961"/>
        <v>8181.5600000000013</v>
      </c>
      <c r="CP239" s="48">
        <f t="shared" si="962"/>
        <v>8181.5600000000013</v>
      </c>
      <c r="CQ239" s="48">
        <f t="shared" si="963"/>
        <v>0</v>
      </c>
      <c r="CR239" s="48">
        <f t="shared" si="964"/>
        <v>0</v>
      </c>
      <c r="CS239" s="48">
        <f t="shared" si="965"/>
        <v>8181.5600000000013</v>
      </c>
      <c r="CT239" s="48">
        <f t="shared" si="966"/>
        <v>8181.5600000000013</v>
      </c>
      <c r="CU239" s="48">
        <f t="shared" si="930"/>
        <v>8181.5600000000013</v>
      </c>
      <c r="CV239" s="48">
        <f t="shared" si="967"/>
        <v>100</v>
      </c>
      <c r="CW239" s="19">
        <f t="shared" si="986"/>
        <v>0</v>
      </c>
      <c r="CX239" s="19">
        <f t="shared" si="987"/>
        <v>0</v>
      </c>
      <c r="CY239" s="19">
        <f t="shared" si="999"/>
        <v>0</v>
      </c>
      <c r="CZ239" s="19">
        <f t="shared" si="1000"/>
        <v>0</v>
      </c>
      <c r="DA239" s="21">
        <f t="shared" si="968"/>
        <v>0</v>
      </c>
      <c r="DB239" s="21">
        <f t="shared" si="969"/>
        <v>0</v>
      </c>
      <c r="DC239" s="79">
        <f t="shared" si="970"/>
        <v>0</v>
      </c>
      <c r="DD239" s="79">
        <f t="shared" si="970"/>
        <v>0</v>
      </c>
      <c r="DE239" s="79">
        <f t="shared" si="1031"/>
        <v>6853.2405353632003</v>
      </c>
      <c r="DF239" s="79">
        <f t="shared" si="1031"/>
        <v>0</v>
      </c>
      <c r="DG239" s="79">
        <f t="shared" si="874"/>
        <v>4770.3017566367998</v>
      </c>
      <c r="DH239" s="51">
        <f t="shared" si="972"/>
        <v>11623.542292</v>
      </c>
      <c r="DI239" s="39"/>
      <c r="DJ239" s="80">
        <f t="shared" si="973"/>
        <v>6423.1694705591999</v>
      </c>
      <c r="DK239" s="39">
        <f t="shared" si="974"/>
        <v>1733.0701557372004</v>
      </c>
      <c r="DL239" s="39">
        <f t="shared" si="975"/>
        <v>3467.3026657036003</v>
      </c>
      <c r="DM239" s="48">
        <f>+AT239-'[2]тарифы (12-13) население 15%'!AP283</f>
        <v>0</v>
      </c>
      <c r="DN239" s="39"/>
      <c r="DO239" s="39"/>
      <c r="DP239" s="39"/>
      <c r="DQ239" s="39"/>
      <c r="DR239" s="39"/>
      <c r="DS239" s="39"/>
      <c r="DT239" s="39"/>
      <c r="DU239" s="19">
        <f t="shared" si="926"/>
        <v>0</v>
      </c>
      <c r="DV239" s="40">
        <f t="shared" si="912"/>
        <v>0</v>
      </c>
      <c r="DW239" s="40">
        <f t="shared" si="913"/>
        <v>0</v>
      </c>
      <c r="DX239" s="46"/>
      <c r="DY239" s="21">
        <f t="shared" si="1032"/>
        <v>0</v>
      </c>
      <c r="DZ239" s="19">
        <f t="shared" si="915"/>
        <v>9.986739398400001</v>
      </c>
      <c r="EA239" s="19">
        <f t="shared" si="916"/>
        <v>9.986739398400001</v>
      </c>
      <c r="EB239" s="19"/>
      <c r="EC239" s="48">
        <f t="shared" si="988"/>
        <v>0</v>
      </c>
      <c r="ED239" s="48">
        <f t="shared" si="989"/>
        <v>0</v>
      </c>
      <c r="EE239" s="52">
        <v>8181.56</v>
      </c>
      <c r="EF239" s="52">
        <v>8754.27</v>
      </c>
      <c r="EG239" s="22">
        <f t="shared" si="1033"/>
        <v>107.00000977808632</v>
      </c>
      <c r="EH239" s="52"/>
      <c r="EI239" s="52"/>
      <c r="EJ239" s="22">
        <f t="shared" si="1034"/>
        <v>0</v>
      </c>
      <c r="EK239" s="40" t="s">
        <v>177</v>
      </c>
      <c r="EL239" s="19">
        <v>1.2390000000000001</v>
      </c>
      <c r="EM239" s="19"/>
      <c r="EN239" s="40">
        <f t="shared" si="1035"/>
        <v>0</v>
      </c>
      <c r="EO239" s="40">
        <f t="shared" si="1024"/>
        <v>0</v>
      </c>
      <c r="EP239" s="40"/>
      <c r="EQ239" s="21">
        <f t="shared" si="1022"/>
        <v>0</v>
      </c>
      <c r="ER239" s="21"/>
      <c r="ES239" s="21">
        <f t="shared" si="1017"/>
        <v>10136.952840000002</v>
      </c>
      <c r="ET239" s="21"/>
      <c r="EU239" s="19">
        <f t="shared" si="1027"/>
        <v>10846.540530000002</v>
      </c>
      <c r="EV239" s="21"/>
      <c r="EW239" s="39"/>
      <c r="EX239" s="39">
        <f t="shared" si="1010"/>
        <v>9986.7393984000009</v>
      </c>
      <c r="EY239" s="39">
        <f t="shared" si="951"/>
        <v>10685.8121328</v>
      </c>
      <c r="EZ239" s="39"/>
      <c r="FA239" s="39"/>
      <c r="FB239" s="39"/>
      <c r="FC239" s="39"/>
      <c r="FD239" s="39"/>
      <c r="FE239" s="39"/>
      <c r="FF239" s="39"/>
      <c r="FG239" s="39"/>
      <c r="FH239" s="39"/>
      <c r="FI239" s="39"/>
      <c r="FJ239" s="19">
        <f t="shared" si="1036"/>
        <v>0</v>
      </c>
      <c r="FK239" s="19">
        <f t="shared" si="1037"/>
        <v>0</v>
      </c>
      <c r="FL239" s="19">
        <f t="shared" si="1025"/>
        <v>0</v>
      </c>
      <c r="FM239" s="19">
        <v>1.24227</v>
      </c>
      <c r="FN239" s="19"/>
      <c r="FO239" s="52">
        <v>1565.07</v>
      </c>
      <c r="FP239" s="52">
        <v>1573.67</v>
      </c>
      <c r="FQ239" s="22"/>
      <c r="FR239" s="52">
        <v>1878.07</v>
      </c>
      <c r="FS239" s="52">
        <v>1888.4</v>
      </c>
      <c r="FT239" s="22"/>
      <c r="FU239" s="40" t="s">
        <v>682</v>
      </c>
      <c r="FV239" s="19"/>
      <c r="FW239" s="19"/>
      <c r="FX239" s="19"/>
      <c r="FY239" s="19"/>
      <c r="FZ239" s="19"/>
      <c r="GA239" s="19"/>
      <c r="GB239" s="19"/>
      <c r="GC239" s="20"/>
      <c r="GD239" s="20"/>
      <c r="GE239" s="21"/>
      <c r="GF239" s="21"/>
      <c r="GG239" s="21"/>
      <c r="GH239" s="21"/>
      <c r="GI239" s="21"/>
      <c r="GJ239" s="21"/>
      <c r="GK239" s="21"/>
      <c r="GL239" s="21"/>
      <c r="GM239" s="19"/>
      <c r="GN239" s="19"/>
      <c r="GO239" s="52">
        <v>1571.33</v>
      </c>
      <c r="GP239" s="22">
        <v>1577.95</v>
      </c>
      <c r="GQ239" s="22"/>
      <c r="GR239" s="52">
        <v>1885.6</v>
      </c>
      <c r="GS239" s="52">
        <v>1893.54</v>
      </c>
      <c r="GT239" s="22"/>
      <c r="GU239" s="40" t="s">
        <v>682</v>
      </c>
      <c r="GV239" s="19"/>
      <c r="GW239" s="19"/>
      <c r="GX239" s="19"/>
      <c r="GY239" s="19"/>
      <c r="GZ239" s="23"/>
      <c r="HA239" s="52">
        <v>1575.61</v>
      </c>
      <c r="HB239" s="52">
        <v>1582.76</v>
      </c>
      <c r="HC239" s="22"/>
      <c r="HD239" s="52">
        <v>1890.73</v>
      </c>
      <c r="HE239" s="52">
        <v>1899.31</v>
      </c>
      <c r="HF239" s="22"/>
      <c r="HG239" s="236" t="s">
        <v>682</v>
      </c>
    </row>
    <row r="240" spans="2:215" ht="15.6" customHeight="1">
      <c r="B240" s="11" t="s">
        <v>382</v>
      </c>
      <c r="C240" s="81" t="s">
        <v>614</v>
      </c>
      <c r="D240" s="143"/>
      <c r="E240" s="143"/>
      <c r="F240" s="143"/>
      <c r="G240" s="143"/>
      <c r="H240" s="143"/>
      <c r="I240" s="143"/>
      <c r="J240" s="143"/>
      <c r="K240" s="143"/>
      <c r="L240" s="143"/>
      <c r="M240" s="46">
        <f>+N240+R240</f>
        <v>0</v>
      </c>
      <c r="N240" s="46">
        <f t="shared" si="1038"/>
        <v>0</v>
      </c>
      <c r="O240" s="143"/>
      <c r="P240" s="143"/>
      <c r="Q240" s="143"/>
      <c r="R240" s="46">
        <f t="shared" si="1039"/>
        <v>0</v>
      </c>
      <c r="S240" s="143"/>
      <c r="T240" s="143"/>
      <c r="U240" s="143"/>
      <c r="V240" s="130"/>
      <c r="W240" s="130"/>
      <c r="X240" s="52">
        <f t="shared" si="927"/>
        <v>0</v>
      </c>
      <c r="Y240" s="130"/>
      <c r="Z240" s="22">
        <f t="shared" ref="Z240:Z288" si="1040">+IF(W240=0,,Y240/W240*100)</f>
        <v>0</v>
      </c>
      <c r="AA240" s="130"/>
      <c r="AB240" s="22">
        <f t="shared" ref="AB240:AB288" si="1041">+IF(Y240=0,,AA240/Y240*100)</f>
        <v>0</v>
      </c>
      <c r="AC240" s="22"/>
      <c r="AD240" s="22"/>
      <c r="AE240" s="22">
        <f t="shared" si="1028"/>
        <v>0</v>
      </c>
      <c r="AF240" s="22"/>
      <c r="AG240" s="22">
        <f t="shared" si="1029"/>
        <v>0</v>
      </c>
      <c r="AH240" s="52"/>
      <c r="AI240" s="52"/>
      <c r="AJ240" s="52">
        <f t="shared" ref="AJ240:AJ288" si="1042">+IF(AH240=0,,AI240/AH240*100)</f>
        <v>0</v>
      </c>
      <c r="AK240" s="52"/>
      <c r="AL240" s="22">
        <f t="shared" ref="AL240:AL288" si="1043">+IF(AI240=0,,AK240/AI240*100)</f>
        <v>0</v>
      </c>
      <c r="AM240" s="52"/>
      <c r="AN240" s="22">
        <f t="shared" ref="AN240:AN288" si="1044">+IF(AK240=0,,AM240/AK240*100)</f>
        <v>0</v>
      </c>
      <c r="AO240" s="22">
        <f t="shared" si="928"/>
        <v>0</v>
      </c>
      <c r="AP240" s="22">
        <f t="shared" ref="AP240:AP288" si="1045">+IF(AH240=0,,AM240/AH240*100)</f>
        <v>0</v>
      </c>
      <c r="AQ240" s="22"/>
      <c r="AR240" s="22"/>
      <c r="AS240" s="22">
        <f t="shared" si="1023"/>
        <v>0</v>
      </c>
      <c r="AT240" s="22"/>
      <c r="AU240" s="22">
        <f t="shared" si="1030"/>
        <v>0</v>
      </c>
      <c r="AV240" s="77"/>
      <c r="AW240" s="77">
        <f>+CY240/$CY$220*100</f>
        <v>0</v>
      </c>
      <c r="AX240" s="78"/>
      <c r="AY240" s="22">
        <f t="shared" ref="AY240:AY272" si="1046">+AZ240+BA240+BB240</f>
        <v>0</v>
      </c>
      <c r="AZ240" s="22"/>
      <c r="BA240" s="22"/>
      <c r="BB240" s="22"/>
      <c r="BC240" s="22"/>
      <c r="BD240" s="22"/>
      <c r="BE240" s="22">
        <f t="shared" ref="BE240:BE272" si="1047">+IF(BC240=0,,BD240/BC240*100)</f>
        <v>0</v>
      </c>
      <c r="BF240" s="22"/>
      <c r="BG240" s="22"/>
      <c r="BH240" s="22">
        <f t="shared" ref="BH240:BH272" si="1048">+IF(BF240=0,,BG240/BF240*100)</f>
        <v>0</v>
      </c>
      <c r="BI240" s="22"/>
      <c r="BJ240" s="40"/>
      <c r="BK240" s="19">
        <f t="shared" si="979"/>
        <v>0</v>
      </c>
      <c r="BL240" s="19">
        <f t="shared" si="1003"/>
        <v>0</v>
      </c>
      <c r="BM240" s="19">
        <f t="shared" si="1004"/>
        <v>0</v>
      </c>
      <c r="BN240" s="19">
        <f t="shared" si="1005"/>
        <v>0</v>
      </c>
      <c r="BO240" s="19">
        <f t="shared" si="980"/>
        <v>0</v>
      </c>
      <c r="BP240" s="19">
        <f t="shared" si="1006"/>
        <v>0</v>
      </c>
      <c r="BQ240" s="19">
        <f t="shared" ref="BQ240:BQ283" si="1049">+(Y240-ROUND(AK240/1.18,2))*E240/1000</f>
        <v>0</v>
      </c>
      <c r="BR240" s="19">
        <f t="shared" si="1007"/>
        <v>0</v>
      </c>
      <c r="BS240" s="19">
        <f t="shared" si="981"/>
        <v>0</v>
      </c>
      <c r="BT240" s="19">
        <f t="shared" si="1008"/>
        <v>0</v>
      </c>
      <c r="BU240" s="19">
        <f t="shared" ref="BU240:BU283" si="1050">+(AA240-ROUND(AM240/1.18,2))*E240/1000</f>
        <v>0</v>
      </c>
      <c r="BV240" s="19">
        <f t="shared" si="1009"/>
        <v>0</v>
      </c>
      <c r="BW240" s="19">
        <f t="shared" si="982"/>
        <v>0</v>
      </c>
      <c r="BX240" s="19">
        <f t="shared" si="996"/>
        <v>0</v>
      </c>
      <c r="BY240" s="19">
        <f t="shared" si="997"/>
        <v>0</v>
      </c>
      <c r="BZ240" s="19">
        <f t="shared" si="998"/>
        <v>0</v>
      </c>
      <c r="CA240" s="19">
        <f t="shared" si="983"/>
        <v>0</v>
      </c>
      <c r="CB240" s="19">
        <f t="shared" si="984"/>
        <v>0</v>
      </c>
      <c r="CC240" s="19">
        <f t="shared" si="985"/>
        <v>0</v>
      </c>
      <c r="CD240" s="19">
        <f t="shared" si="906"/>
        <v>0</v>
      </c>
      <c r="CE240" s="48">
        <f t="shared" si="952"/>
        <v>0</v>
      </c>
      <c r="CF240" s="48">
        <f t="shared" si="953"/>
        <v>0</v>
      </c>
      <c r="CG240" s="48">
        <f t="shared" si="954"/>
        <v>0</v>
      </c>
      <c r="CH240" s="48">
        <f t="shared" si="955"/>
        <v>0</v>
      </c>
      <c r="CI240" s="48">
        <f t="shared" si="956"/>
        <v>0</v>
      </c>
      <c r="CJ240" s="48">
        <f t="shared" si="957"/>
        <v>0</v>
      </c>
      <c r="CK240" s="48">
        <f t="shared" si="958"/>
        <v>0</v>
      </c>
      <c r="CL240" s="48">
        <f t="shared" si="959"/>
        <v>0</v>
      </c>
      <c r="CM240" s="48">
        <f t="shared" si="960"/>
        <v>0</v>
      </c>
      <c r="CN240" s="48">
        <f t="shared" si="929"/>
        <v>0</v>
      </c>
      <c r="CO240" s="48">
        <f t="shared" si="961"/>
        <v>0</v>
      </c>
      <c r="CP240" s="48">
        <f t="shared" si="962"/>
        <v>0</v>
      </c>
      <c r="CQ240" s="48">
        <f t="shared" si="963"/>
        <v>0</v>
      </c>
      <c r="CR240" s="48">
        <f t="shared" si="964"/>
        <v>0</v>
      </c>
      <c r="CS240" s="48">
        <f t="shared" si="965"/>
        <v>0</v>
      </c>
      <c r="CT240" s="48">
        <f t="shared" si="966"/>
        <v>0</v>
      </c>
      <c r="CU240" s="48">
        <f t="shared" si="930"/>
        <v>0</v>
      </c>
      <c r="CV240" s="48">
        <f t="shared" si="967"/>
        <v>0</v>
      </c>
      <c r="CW240" s="19">
        <f t="shared" si="986"/>
        <v>0</v>
      </c>
      <c r="CX240" s="19">
        <f t="shared" si="987"/>
        <v>0</v>
      </c>
      <c r="CY240" s="19">
        <f t="shared" si="999"/>
        <v>0</v>
      </c>
      <c r="CZ240" s="19">
        <f t="shared" si="1000"/>
        <v>0</v>
      </c>
      <c r="DA240" s="21">
        <f t="shared" si="968"/>
        <v>0</v>
      </c>
      <c r="DB240" s="21">
        <f t="shared" si="969"/>
        <v>0</v>
      </c>
      <c r="DC240" s="79">
        <f t="shared" si="970"/>
        <v>0</v>
      </c>
      <c r="DD240" s="79">
        <f t="shared" si="970"/>
        <v>0</v>
      </c>
      <c r="DE240" s="79">
        <f t="shared" si="1031"/>
        <v>0</v>
      </c>
      <c r="DF240" s="79">
        <f t="shared" si="1031"/>
        <v>0</v>
      </c>
      <c r="DG240" s="79">
        <f t="shared" si="874"/>
        <v>0</v>
      </c>
      <c r="DH240" s="51">
        <f t="shared" si="972"/>
        <v>0</v>
      </c>
      <c r="DI240" s="39"/>
      <c r="DJ240" s="80">
        <f t="shared" si="973"/>
        <v>0</v>
      </c>
      <c r="DK240" s="39">
        <f t="shared" si="974"/>
        <v>0</v>
      </c>
      <c r="DL240" s="39">
        <f t="shared" si="975"/>
        <v>0</v>
      </c>
      <c r="DM240" s="48">
        <f>+AT240-'[2]тарифы (12-13) население 15%'!AP288</f>
        <v>0</v>
      </c>
      <c r="DN240" s="39"/>
      <c r="DO240" s="39"/>
      <c r="DP240" s="39"/>
      <c r="DQ240" s="39"/>
      <c r="DR240" s="39"/>
      <c r="DS240" s="39"/>
      <c r="DT240" s="39"/>
      <c r="DU240" s="19">
        <f t="shared" ref="DU240:DU272" si="1051">+(BF240*AZ240)/1.18</f>
        <v>0</v>
      </c>
      <c r="DV240" s="40">
        <f t="shared" ref="DV240:DV266" si="1052">+(BG240*AZ240)/1.18</f>
        <v>0</v>
      </c>
      <c r="DW240" s="40">
        <f t="shared" ref="DW240:DW266" si="1053">+BD240*AZ240</f>
        <v>0</v>
      </c>
      <c r="DX240" s="46"/>
      <c r="DY240" s="21">
        <f t="shared" si="1032"/>
        <v>0</v>
      </c>
      <c r="DZ240" s="19">
        <f t="shared" ref="DZ240:DZ272" si="1054">+BC240*AY240/1000</f>
        <v>0</v>
      </c>
      <c r="EA240" s="19">
        <f t="shared" ref="EA240:EA272" si="1055">+BD240*AY240/1000</f>
        <v>0</v>
      </c>
      <c r="EB240" s="19"/>
      <c r="EC240" s="48">
        <f t="shared" si="988"/>
        <v>0</v>
      </c>
      <c r="ED240" s="48">
        <f t="shared" si="989"/>
        <v>0</v>
      </c>
      <c r="EE240" s="22"/>
      <c r="EF240" s="22"/>
      <c r="EG240" s="22">
        <f t="shared" si="1033"/>
        <v>0</v>
      </c>
      <c r="EH240" s="22"/>
      <c r="EI240" s="22"/>
      <c r="EJ240" s="22">
        <f t="shared" si="1034"/>
        <v>0</v>
      </c>
      <c r="EK240" s="40"/>
      <c r="EL240" s="19">
        <v>0</v>
      </c>
      <c r="EM240" s="19"/>
      <c r="EN240" s="40">
        <f t="shared" si="1035"/>
        <v>0</v>
      </c>
      <c r="EO240" s="40">
        <f t="shared" si="1024"/>
        <v>0</v>
      </c>
      <c r="EP240" s="40"/>
      <c r="EQ240" s="21">
        <f t="shared" si="1022"/>
        <v>0</v>
      </c>
      <c r="ER240" s="21"/>
      <c r="ES240" s="21">
        <f t="shared" si="1017"/>
        <v>0</v>
      </c>
      <c r="ET240" s="21"/>
      <c r="EU240" s="19">
        <f t="shared" si="1027"/>
        <v>0</v>
      </c>
      <c r="EV240" s="21"/>
      <c r="EW240" s="39"/>
      <c r="EX240" s="39">
        <f t="shared" si="1010"/>
        <v>0</v>
      </c>
      <c r="EY240" s="39">
        <f t="shared" si="951"/>
        <v>0</v>
      </c>
      <c r="EZ240" s="39"/>
      <c r="FA240" s="39"/>
      <c r="FB240" s="39"/>
      <c r="FC240" s="39"/>
      <c r="FD240" s="39"/>
      <c r="FE240" s="39"/>
      <c r="FF240" s="39"/>
      <c r="FG240" s="39"/>
      <c r="FH240" s="39"/>
      <c r="FI240" s="39"/>
      <c r="FJ240" s="19">
        <f t="shared" si="1036"/>
        <v>0</v>
      </c>
      <c r="FK240" s="19">
        <f t="shared" si="1037"/>
        <v>0</v>
      </c>
      <c r="FL240" s="19">
        <f t="shared" si="1025"/>
        <v>0</v>
      </c>
      <c r="FM240" s="19"/>
      <c r="FN240" s="19"/>
      <c r="FO240" s="22"/>
      <c r="FP240" s="22"/>
      <c r="FQ240" s="22"/>
      <c r="FR240" s="22"/>
      <c r="FS240" s="22"/>
      <c r="FT240" s="22"/>
      <c r="FU240" s="40"/>
      <c r="FV240" s="19"/>
      <c r="FW240" s="19"/>
      <c r="FX240" s="19"/>
      <c r="FY240" s="19"/>
      <c r="FZ240" s="19"/>
      <c r="GA240" s="19"/>
      <c r="GB240" s="19"/>
      <c r="GC240" s="20"/>
      <c r="GD240" s="20"/>
      <c r="GE240" s="21"/>
      <c r="GF240" s="21"/>
      <c r="GG240" s="21"/>
      <c r="GH240" s="21"/>
      <c r="GI240" s="21"/>
      <c r="GJ240" s="21"/>
      <c r="GK240" s="21"/>
      <c r="GL240" s="21"/>
      <c r="GM240" s="19"/>
      <c r="GN240" s="19"/>
      <c r="GO240" s="22"/>
      <c r="GP240" s="22"/>
      <c r="GQ240" s="22"/>
      <c r="GR240" s="22"/>
      <c r="GS240" s="22"/>
      <c r="GT240" s="22"/>
      <c r="GU240" s="43"/>
      <c r="GV240" s="19"/>
      <c r="GW240" s="19"/>
      <c r="GX240" s="19"/>
      <c r="GY240" s="19"/>
      <c r="GZ240" s="23"/>
      <c r="HA240" s="22"/>
      <c r="HB240" s="22"/>
      <c r="HC240" s="22"/>
      <c r="HD240" s="22"/>
      <c r="HE240" s="22"/>
      <c r="HF240" s="22"/>
      <c r="HG240" s="233"/>
    </row>
    <row r="241" spans="2:215" ht="15.6" customHeight="1">
      <c r="B241" s="11"/>
      <c r="C241" s="195" t="s">
        <v>204</v>
      </c>
      <c r="D241" s="144">
        <v>65835</v>
      </c>
      <c r="E241" s="144">
        <v>19200</v>
      </c>
      <c r="F241" s="74" t="e">
        <f>+E241*#REF!</f>
        <v>#REF!</v>
      </c>
      <c r="G241" s="74" t="e">
        <f>+E241*#REF!</f>
        <v>#REF!</v>
      </c>
      <c r="H241" s="74" t="e">
        <f>+E241*#REF!</f>
        <v>#REF!</v>
      </c>
      <c r="I241" s="144">
        <v>46635</v>
      </c>
      <c r="J241" s="74" t="e">
        <f>+I241*#REF!</f>
        <v>#REF!</v>
      </c>
      <c r="K241" s="74" t="e">
        <f>+I241*#REF!</f>
        <v>#REF!</v>
      </c>
      <c r="L241" s="74" t="e">
        <f>+I241*#REF!</f>
        <v>#REF!</v>
      </c>
      <c r="M241" s="144">
        <v>65835</v>
      </c>
      <c r="N241" s="144">
        <v>19200</v>
      </c>
      <c r="O241" s="74">
        <v>9600</v>
      </c>
      <c r="P241" s="74"/>
      <c r="Q241" s="74">
        <v>9600</v>
      </c>
      <c r="R241" s="144">
        <f>+M241-N241</f>
        <v>46635</v>
      </c>
      <c r="S241" s="74">
        <v>23317.5</v>
      </c>
      <c r="T241" s="74"/>
      <c r="U241" s="74">
        <v>23317.5</v>
      </c>
      <c r="V241" s="130">
        <v>50.11</v>
      </c>
      <c r="W241" s="130">
        <v>40.450000000000003</v>
      </c>
      <c r="X241" s="22">
        <f t="shared" si="927"/>
        <v>80.722410696467776</v>
      </c>
      <c r="Y241" s="130">
        <v>42</v>
      </c>
      <c r="Z241" s="22">
        <f t="shared" si="1040"/>
        <v>103.831891223733</v>
      </c>
      <c r="AA241" s="130">
        <v>42</v>
      </c>
      <c r="AB241" s="22">
        <f t="shared" si="1041"/>
        <v>100</v>
      </c>
      <c r="AC241" s="130">
        <v>42</v>
      </c>
      <c r="AD241" s="130">
        <v>42</v>
      </c>
      <c r="AE241" s="22">
        <f t="shared" si="1028"/>
        <v>110.5</v>
      </c>
      <c r="AF241" s="22">
        <v>46.41</v>
      </c>
      <c r="AG241" s="22">
        <f t="shared" si="1029"/>
        <v>110.5</v>
      </c>
      <c r="AH241" s="52">
        <v>59.13</v>
      </c>
      <c r="AI241" s="52">
        <v>47.73</v>
      </c>
      <c r="AJ241" s="22">
        <f t="shared" si="1042"/>
        <v>80.720446473871121</v>
      </c>
      <c r="AK241" s="52">
        <v>49.56</v>
      </c>
      <c r="AL241" s="22">
        <f t="shared" si="1043"/>
        <v>103.8340666247643</v>
      </c>
      <c r="AM241" s="52">
        <v>49.56</v>
      </c>
      <c r="AN241" s="22">
        <f t="shared" si="1044"/>
        <v>100</v>
      </c>
      <c r="AO241" s="22">
        <f t="shared" si="928"/>
        <v>83.815605667531429</v>
      </c>
      <c r="AP241" s="22">
        <f t="shared" si="1045"/>
        <v>83.815322171486557</v>
      </c>
      <c r="AQ241" s="22">
        <v>49.56</v>
      </c>
      <c r="AR241" s="22">
        <v>49.56</v>
      </c>
      <c r="AS241" s="22">
        <f t="shared" si="1023"/>
        <v>110.49233252623083</v>
      </c>
      <c r="AT241" s="22">
        <v>54.76</v>
      </c>
      <c r="AU241" s="22">
        <f t="shared" si="1030"/>
        <v>110.49233252623083</v>
      </c>
      <c r="AV241" s="77"/>
      <c r="AW241" s="77">
        <f>+CY241/$CY$220*100</f>
        <v>2.7413258833277188</v>
      </c>
      <c r="AX241" s="78" t="s">
        <v>383</v>
      </c>
      <c r="AY241" s="22">
        <f t="shared" si="1046"/>
        <v>65.834999999999994</v>
      </c>
      <c r="AZ241" s="22">
        <f>+'[1]тарифы (НВВ) население на 4,2%'!N301/1000</f>
        <v>19.2</v>
      </c>
      <c r="BA241" s="22"/>
      <c r="BB241" s="22">
        <f>+'[1]тарифы (НВВ) население на 4,2%'!R301/1000</f>
        <v>46.634999999999998</v>
      </c>
      <c r="BC241" s="22">
        <v>46.41</v>
      </c>
      <c r="BD241" s="22">
        <v>48.35</v>
      </c>
      <c r="BE241" s="22">
        <f t="shared" si="1047"/>
        <v>104.18013359189831</v>
      </c>
      <c r="BF241" s="22">
        <v>46.41</v>
      </c>
      <c r="BG241" s="22">
        <v>48.35</v>
      </c>
      <c r="BH241" s="22">
        <f t="shared" si="1048"/>
        <v>104.18013359189831</v>
      </c>
      <c r="BI241" s="22"/>
      <c r="BJ241" s="40" t="s">
        <v>384</v>
      </c>
      <c r="BK241" s="19">
        <f t="shared" si="979"/>
        <v>2663.0094788135593</v>
      </c>
      <c r="BL241" s="19">
        <f t="shared" si="1003"/>
        <v>776.6237288135593</v>
      </c>
      <c r="BM241" s="19">
        <f t="shared" si="1004"/>
        <v>0</v>
      </c>
      <c r="BN241" s="19">
        <f t="shared" si="1005"/>
        <v>1886.3857500000001</v>
      </c>
      <c r="BO241" s="19">
        <f t="shared" si="980"/>
        <v>2765.07</v>
      </c>
      <c r="BP241" s="19">
        <f t="shared" si="1006"/>
        <v>806.40000000000009</v>
      </c>
      <c r="BQ241" s="19">
        <f t="shared" si="1049"/>
        <v>0</v>
      </c>
      <c r="BR241" s="19">
        <f t="shared" si="1007"/>
        <v>1958.67</v>
      </c>
      <c r="BS241" s="19">
        <f t="shared" si="981"/>
        <v>2765.07</v>
      </c>
      <c r="BT241" s="19">
        <f t="shared" si="1008"/>
        <v>806.40000000000009</v>
      </c>
      <c r="BU241" s="19">
        <f t="shared" si="1050"/>
        <v>0</v>
      </c>
      <c r="BV241" s="19">
        <f t="shared" si="1009"/>
        <v>1958.67</v>
      </c>
      <c r="BW241" s="19">
        <f t="shared" si="982"/>
        <v>2765.07</v>
      </c>
      <c r="BX241" s="19">
        <f t="shared" si="996"/>
        <v>806.40000000000009</v>
      </c>
      <c r="BY241" s="19">
        <f t="shared" si="997"/>
        <v>0</v>
      </c>
      <c r="BZ241" s="19">
        <f t="shared" si="998"/>
        <v>1958.67</v>
      </c>
      <c r="CA241" s="19">
        <f t="shared" si="983"/>
        <v>3055.3405194915249</v>
      </c>
      <c r="CB241" s="19">
        <f t="shared" si="984"/>
        <v>891.0101694915254</v>
      </c>
      <c r="CC241" s="19">
        <f t="shared" si="985"/>
        <v>0</v>
      </c>
      <c r="CD241" s="19">
        <f t="shared" si="906"/>
        <v>2164.3303499999997</v>
      </c>
      <c r="CE241" s="48">
        <f t="shared" si="952"/>
        <v>40.450000000000003</v>
      </c>
      <c r="CF241" s="48">
        <f t="shared" si="953"/>
        <v>42</v>
      </c>
      <c r="CG241" s="48">
        <f t="shared" si="954"/>
        <v>42</v>
      </c>
      <c r="CH241" s="48">
        <f t="shared" si="955"/>
        <v>47.73</v>
      </c>
      <c r="CI241" s="48">
        <f t="shared" si="956"/>
        <v>49.56</v>
      </c>
      <c r="CJ241" s="48">
        <f t="shared" si="957"/>
        <v>49.56</v>
      </c>
      <c r="CK241" s="48">
        <f t="shared" si="958"/>
        <v>40.449752848994592</v>
      </c>
      <c r="CL241" s="48">
        <f t="shared" si="959"/>
        <v>42</v>
      </c>
      <c r="CM241" s="48">
        <f t="shared" si="960"/>
        <v>42</v>
      </c>
      <c r="CN241" s="48">
        <f t="shared" si="929"/>
        <v>41.483250949664857</v>
      </c>
      <c r="CO241" s="48">
        <f t="shared" si="961"/>
        <v>42</v>
      </c>
      <c r="CP241" s="48">
        <f t="shared" si="962"/>
        <v>46.409999999999989</v>
      </c>
      <c r="CQ241" s="48">
        <f t="shared" si="963"/>
        <v>49.56</v>
      </c>
      <c r="CR241" s="48">
        <f t="shared" si="964"/>
        <v>54.759999999999991</v>
      </c>
      <c r="CS241" s="48">
        <f t="shared" si="965"/>
        <v>42</v>
      </c>
      <c r="CT241" s="48">
        <f t="shared" si="966"/>
        <v>46.409060826179463</v>
      </c>
      <c r="CU241" s="48">
        <f t="shared" si="930"/>
        <v>44.204530413089728</v>
      </c>
      <c r="CV241" s="48">
        <f t="shared" si="967"/>
        <v>106.55994745138666</v>
      </c>
      <c r="CW241" s="19" t="e">
        <f t="shared" si="986"/>
        <v>#REF!</v>
      </c>
      <c r="CX241" s="19" t="e">
        <f t="shared" si="987"/>
        <v>#REF!</v>
      </c>
      <c r="CY241" s="19">
        <f t="shared" si="999"/>
        <v>848.70508474576275</v>
      </c>
      <c r="CZ241" s="19">
        <f t="shared" si="1000"/>
        <v>848.73599999999999</v>
      </c>
      <c r="DA241" s="21" t="e">
        <f t="shared" si="968"/>
        <v>#REF!</v>
      </c>
      <c r="DB241" s="21">
        <f t="shared" si="969"/>
        <v>99.996357494646475</v>
      </c>
      <c r="DC241" s="79" t="e">
        <f t="shared" si="970"/>
        <v>#REF!</v>
      </c>
      <c r="DD241" s="79" t="e">
        <f t="shared" si="970"/>
        <v>#REF!</v>
      </c>
      <c r="DE241" s="79">
        <f t="shared" si="1031"/>
        <v>1382.5350000000001</v>
      </c>
      <c r="DF241" s="79">
        <f t="shared" si="1031"/>
        <v>0</v>
      </c>
      <c r="DG241" s="79">
        <f t="shared" si="874"/>
        <v>1527.7011749999999</v>
      </c>
      <c r="DH241" s="51">
        <f t="shared" si="972"/>
        <v>2910.236175</v>
      </c>
      <c r="DI241" s="39"/>
      <c r="DJ241" s="80" t="e">
        <f t="shared" si="973"/>
        <v>#REF!</v>
      </c>
      <c r="DK241" s="39" t="e">
        <f t="shared" si="974"/>
        <v>#REF!</v>
      </c>
      <c r="DL241" s="39" t="e">
        <f t="shared" si="975"/>
        <v>#REF!</v>
      </c>
      <c r="DM241" s="48">
        <f>+AT241-'[2]тарифы (12-13) население 15%'!AP289</f>
        <v>0</v>
      </c>
      <c r="DN241" s="39"/>
      <c r="DO241" s="39"/>
      <c r="DP241" s="39"/>
      <c r="DQ241" s="39"/>
      <c r="DR241" s="39"/>
      <c r="DS241" s="39"/>
      <c r="DT241" s="39"/>
      <c r="DU241" s="19">
        <f t="shared" si="1051"/>
        <v>755.14576271186434</v>
      </c>
      <c r="DV241" s="40">
        <f>+BG241*AZ241</f>
        <v>928.31999999999994</v>
      </c>
      <c r="DW241" s="40">
        <f t="shared" si="1053"/>
        <v>928.31999999999994</v>
      </c>
      <c r="DX241" s="46"/>
      <c r="DY241" s="21">
        <f t="shared" si="1032"/>
        <v>100</v>
      </c>
      <c r="DZ241" s="19">
        <f t="shared" si="1054"/>
        <v>3.0554023499999996</v>
      </c>
      <c r="EA241" s="19">
        <f t="shared" si="1055"/>
        <v>3.1831222499999998</v>
      </c>
      <c r="EB241" s="19"/>
      <c r="EC241" s="48">
        <f>+(BC241-BF241)*AZ241/2</f>
        <v>0</v>
      </c>
      <c r="ED241" s="48">
        <f>+(BD241-BG241)*AZ241/2</f>
        <v>0</v>
      </c>
      <c r="EE241" s="22"/>
      <c r="EF241" s="22"/>
      <c r="EG241" s="22">
        <f t="shared" si="1033"/>
        <v>0</v>
      </c>
      <c r="EH241" s="22"/>
      <c r="EI241" s="22"/>
      <c r="EJ241" s="22">
        <f t="shared" si="1034"/>
        <v>0</v>
      </c>
      <c r="EK241" s="40"/>
      <c r="EL241" s="19"/>
      <c r="EM241" s="19"/>
      <c r="EN241" s="40">
        <f t="shared" si="1035"/>
        <v>0</v>
      </c>
      <c r="EO241" s="40">
        <f t="shared" si="1024"/>
        <v>0</v>
      </c>
      <c r="EP241" s="40"/>
      <c r="EQ241" s="21">
        <f t="shared" si="1022"/>
        <v>0</v>
      </c>
      <c r="ER241" s="21"/>
      <c r="ES241" s="21">
        <f t="shared" si="1017"/>
        <v>0</v>
      </c>
      <c r="ET241" s="21"/>
      <c r="EU241" s="19">
        <f t="shared" si="1027"/>
        <v>0</v>
      </c>
      <c r="EV241" s="21"/>
      <c r="EW241" s="39"/>
      <c r="EX241" s="39"/>
      <c r="EY241" s="39">
        <f t="shared" si="951"/>
        <v>0</v>
      </c>
      <c r="EZ241" s="39"/>
      <c r="FA241" s="39"/>
      <c r="FB241" s="39"/>
      <c r="FC241" s="39"/>
      <c r="FD241" s="39"/>
      <c r="FE241" s="39"/>
      <c r="FF241" s="39"/>
      <c r="FG241" s="39"/>
      <c r="FH241" s="39"/>
      <c r="FI241" s="39"/>
      <c r="FJ241" s="19">
        <f t="shared" si="1036"/>
        <v>0</v>
      </c>
      <c r="FK241" s="19">
        <f t="shared" si="1037"/>
        <v>0</v>
      </c>
      <c r="FL241" s="19">
        <f>+FJ241+FK241</f>
        <v>0</v>
      </c>
      <c r="FM241" s="19"/>
      <c r="FN241" s="19"/>
      <c r="FO241" s="22">
        <v>5042.7299999999996</v>
      </c>
      <c r="FP241" s="22">
        <v>5279.13</v>
      </c>
      <c r="FQ241" s="22"/>
      <c r="FR241" s="22" t="s">
        <v>633</v>
      </c>
      <c r="FS241" s="22" t="s">
        <v>633</v>
      </c>
      <c r="FT241" s="22"/>
      <c r="FU241" s="40" t="s">
        <v>683</v>
      </c>
      <c r="FV241" s="19"/>
      <c r="FW241" s="19"/>
      <c r="FX241" s="19"/>
      <c r="FY241" s="19"/>
      <c r="FZ241" s="19"/>
      <c r="GA241" s="19"/>
      <c r="GB241" s="19"/>
      <c r="GC241" s="20"/>
      <c r="GD241" s="20"/>
      <c r="GE241" s="21"/>
      <c r="GF241" s="21"/>
      <c r="GG241" s="21"/>
      <c r="GH241" s="21"/>
      <c r="GI241" s="21"/>
      <c r="GJ241" s="21"/>
      <c r="GK241" s="21"/>
      <c r="GL241" s="21"/>
      <c r="GM241" s="19"/>
      <c r="GN241" s="19"/>
      <c r="GO241" s="22">
        <v>5279.13</v>
      </c>
      <c r="GP241" s="22">
        <v>5488.4</v>
      </c>
      <c r="GQ241" s="22"/>
      <c r="GR241" s="22" t="s">
        <v>633</v>
      </c>
      <c r="GS241" s="22" t="s">
        <v>633</v>
      </c>
      <c r="GT241" s="22"/>
      <c r="GU241" s="40" t="s">
        <v>683</v>
      </c>
      <c r="GV241" s="19"/>
      <c r="GW241" s="19"/>
      <c r="GX241" s="19"/>
      <c r="GY241" s="19"/>
      <c r="GZ241" s="23"/>
      <c r="HA241" s="22">
        <v>5488.4</v>
      </c>
      <c r="HB241" s="22">
        <v>5706.23</v>
      </c>
      <c r="HC241" s="22"/>
      <c r="HD241" s="22" t="s">
        <v>633</v>
      </c>
      <c r="HE241" s="22" t="s">
        <v>633</v>
      </c>
      <c r="HF241" s="22"/>
      <c r="HG241" s="236" t="s">
        <v>683</v>
      </c>
    </row>
    <row r="242" spans="2:215" ht="15.6" customHeight="1">
      <c r="B242" s="11" t="s">
        <v>385</v>
      </c>
      <c r="C242" s="81" t="s">
        <v>607</v>
      </c>
      <c r="D242" s="144"/>
      <c r="E242" s="144"/>
      <c r="F242" s="74"/>
      <c r="G242" s="74"/>
      <c r="H242" s="74"/>
      <c r="I242" s="144"/>
      <c r="J242" s="74"/>
      <c r="K242" s="74"/>
      <c r="L242" s="74"/>
      <c r="M242" s="144"/>
      <c r="N242" s="144"/>
      <c r="O242" s="74"/>
      <c r="P242" s="74"/>
      <c r="Q242" s="74"/>
      <c r="R242" s="144"/>
      <c r="S242" s="74"/>
      <c r="T242" s="74"/>
      <c r="U242" s="74"/>
      <c r="V242" s="130"/>
      <c r="W242" s="130"/>
      <c r="X242" s="22"/>
      <c r="Y242" s="130"/>
      <c r="Z242" s="22"/>
      <c r="AA242" s="130"/>
      <c r="AB242" s="22"/>
      <c r="AC242" s="130"/>
      <c r="AD242" s="130"/>
      <c r="AE242" s="22"/>
      <c r="AF242" s="22"/>
      <c r="AG242" s="22"/>
      <c r="AH242" s="52"/>
      <c r="AI242" s="52"/>
      <c r="AJ242" s="22"/>
      <c r="AK242" s="52"/>
      <c r="AL242" s="22"/>
      <c r="AM242" s="52"/>
      <c r="AN242" s="22"/>
      <c r="AO242" s="22"/>
      <c r="AP242" s="22"/>
      <c r="AQ242" s="22"/>
      <c r="AR242" s="22"/>
      <c r="AS242" s="22"/>
      <c r="AT242" s="22"/>
      <c r="AU242" s="22"/>
      <c r="AV242" s="77"/>
      <c r="AW242" s="77"/>
      <c r="AX242" s="78"/>
      <c r="AY242" s="22"/>
      <c r="AZ242" s="22"/>
      <c r="BA242" s="22"/>
      <c r="BB242" s="22"/>
      <c r="BC242" s="22"/>
      <c r="BD242" s="22"/>
      <c r="BE242" s="22"/>
      <c r="BF242" s="22"/>
      <c r="BG242" s="22"/>
      <c r="BH242" s="22"/>
      <c r="BI242" s="22"/>
      <c r="BJ242" s="40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48"/>
      <c r="CF242" s="48"/>
      <c r="CG242" s="48"/>
      <c r="CH242" s="48"/>
      <c r="CI242" s="48"/>
      <c r="CJ242" s="48"/>
      <c r="CK242" s="48"/>
      <c r="CL242" s="48"/>
      <c r="CM242" s="48"/>
      <c r="CN242" s="48"/>
      <c r="CO242" s="48"/>
      <c r="CP242" s="48"/>
      <c r="CQ242" s="48"/>
      <c r="CR242" s="48"/>
      <c r="CS242" s="48"/>
      <c r="CT242" s="48"/>
      <c r="CU242" s="48"/>
      <c r="CV242" s="48"/>
      <c r="CW242" s="19"/>
      <c r="CX242" s="19"/>
      <c r="CY242" s="19"/>
      <c r="CZ242" s="19"/>
      <c r="DA242" s="21"/>
      <c r="DB242" s="21"/>
      <c r="DC242" s="79"/>
      <c r="DD242" s="79"/>
      <c r="DE242" s="79"/>
      <c r="DF242" s="79"/>
      <c r="DG242" s="79"/>
      <c r="DH242" s="51"/>
      <c r="DI242" s="39"/>
      <c r="DJ242" s="80"/>
      <c r="DK242" s="39"/>
      <c r="DL242" s="39"/>
      <c r="DM242" s="48"/>
      <c r="DN242" s="39"/>
      <c r="DO242" s="39"/>
      <c r="DP242" s="39"/>
      <c r="DQ242" s="39"/>
      <c r="DR242" s="39"/>
      <c r="DS242" s="39"/>
      <c r="DT242" s="39"/>
      <c r="DU242" s="19"/>
      <c r="DV242" s="40"/>
      <c r="DW242" s="40"/>
      <c r="DX242" s="46"/>
      <c r="DY242" s="21"/>
      <c r="DZ242" s="19"/>
      <c r="EA242" s="19"/>
      <c r="EB242" s="19"/>
      <c r="EC242" s="48"/>
      <c r="ED242" s="48"/>
      <c r="EE242" s="22"/>
      <c r="EF242" s="22"/>
      <c r="EG242" s="22"/>
      <c r="EH242" s="22"/>
      <c r="EI242" s="22"/>
      <c r="EJ242" s="22"/>
      <c r="EK242" s="40"/>
      <c r="EL242" s="19"/>
      <c r="EM242" s="19"/>
      <c r="EN242" s="40"/>
      <c r="EO242" s="40"/>
      <c r="EP242" s="40"/>
      <c r="EQ242" s="21"/>
      <c r="ER242" s="21"/>
      <c r="ES242" s="21"/>
      <c r="ET242" s="21"/>
      <c r="EU242" s="19"/>
      <c r="EV242" s="21"/>
      <c r="EW242" s="39"/>
      <c r="EX242" s="39"/>
      <c r="EY242" s="39"/>
      <c r="EZ242" s="39"/>
      <c r="FA242" s="39"/>
      <c r="FB242" s="39"/>
      <c r="FC242" s="39"/>
      <c r="FD242" s="39"/>
      <c r="FE242" s="39"/>
      <c r="FF242" s="39"/>
      <c r="FG242" s="39"/>
      <c r="FH242" s="39"/>
      <c r="FI242" s="39"/>
      <c r="FJ242" s="19"/>
      <c r="FK242" s="19"/>
      <c r="FL242" s="19"/>
      <c r="FM242" s="19"/>
      <c r="FN242" s="19"/>
      <c r="FO242" s="22"/>
      <c r="FP242" s="39"/>
      <c r="FQ242" s="22"/>
      <c r="FR242" s="22"/>
      <c r="FS242" s="22"/>
      <c r="FT242" s="22"/>
      <c r="FU242" s="40"/>
      <c r="FV242" s="19"/>
      <c r="FW242" s="19"/>
      <c r="FX242" s="19"/>
      <c r="FY242" s="19"/>
      <c r="FZ242" s="19"/>
      <c r="GA242" s="19"/>
      <c r="GB242" s="19"/>
      <c r="GC242" s="20"/>
      <c r="GD242" s="20"/>
      <c r="GE242" s="21"/>
      <c r="GF242" s="21"/>
      <c r="GG242" s="21"/>
      <c r="GH242" s="21"/>
      <c r="GI242" s="21"/>
      <c r="GJ242" s="21"/>
      <c r="GK242" s="21"/>
      <c r="GL242" s="21"/>
      <c r="GM242" s="19"/>
      <c r="GN242" s="19"/>
      <c r="GO242" s="22"/>
      <c r="GP242" s="22"/>
      <c r="GQ242" s="22"/>
      <c r="GR242" s="22"/>
      <c r="GS242" s="22"/>
      <c r="GT242" s="22"/>
      <c r="GU242" s="43"/>
      <c r="GV242" s="19"/>
      <c r="GW242" s="19"/>
      <c r="GX242" s="19"/>
      <c r="GY242" s="19"/>
      <c r="GZ242" s="23"/>
      <c r="HA242" s="22"/>
      <c r="HB242" s="22"/>
      <c r="HC242" s="22"/>
      <c r="HD242" s="22"/>
      <c r="HE242" s="22"/>
      <c r="HF242" s="22"/>
      <c r="HG242" s="233"/>
    </row>
    <row r="243" spans="2:215" ht="15.6" customHeight="1">
      <c r="B243" s="11"/>
      <c r="C243" s="161" t="s">
        <v>153</v>
      </c>
      <c r="D243" s="144"/>
      <c r="E243" s="144"/>
      <c r="F243" s="74"/>
      <c r="G243" s="74"/>
      <c r="H243" s="74"/>
      <c r="I243" s="144"/>
      <c r="J243" s="74"/>
      <c r="K243" s="74"/>
      <c r="L243" s="74"/>
      <c r="M243" s="144"/>
      <c r="N243" s="144"/>
      <c r="O243" s="74"/>
      <c r="P243" s="74"/>
      <c r="Q243" s="74"/>
      <c r="R243" s="144"/>
      <c r="S243" s="74"/>
      <c r="T243" s="74"/>
      <c r="U243" s="74"/>
      <c r="V243" s="130"/>
      <c r="W243" s="130"/>
      <c r="X243" s="22"/>
      <c r="Y243" s="130"/>
      <c r="Z243" s="22"/>
      <c r="AA243" s="130"/>
      <c r="AB243" s="22"/>
      <c r="AC243" s="130"/>
      <c r="AD243" s="130"/>
      <c r="AE243" s="22"/>
      <c r="AF243" s="22"/>
      <c r="AG243" s="22"/>
      <c r="AH243" s="52"/>
      <c r="AI243" s="52"/>
      <c r="AJ243" s="22"/>
      <c r="AK243" s="52"/>
      <c r="AL243" s="22"/>
      <c r="AM243" s="52"/>
      <c r="AN243" s="22"/>
      <c r="AO243" s="22"/>
      <c r="AP243" s="22"/>
      <c r="AQ243" s="22"/>
      <c r="AR243" s="22"/>
      <c r="AS243" s="22"/>
      <c r="AT243" s="22"/>
      <c r="AU243" s="22"/>
      <c r="AV243" s="77"/>
      <c r="AW243" s="77"/>
      <c r="AX243" s="78"/>
      <c r="AY243" s="22"/>
      <c r="AZ243" s="22"/>
      <c r="BA243" s="22"/>
      <c r="BB243" s="22"/>
      <c r="BC243" s="22"/>
      <c r="BD243" s="22"/>
      <c r="BE243" s="22"/>
      <c r="BF243" s="22"/>
      <c r="BG243" s="22"/>
      <c r="BH243" s="22"/>
      <c r="BI243" s="22"/>
      <c r="BJ243" s="40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48"/>
      <c r="CF243" s="48"/>
      <c r="CG243" s="48"/>
      <c r="CH243" s="48"/>
      <c r="CI243" s="48"/>
      <c r="CJ243" s="48"/>
      <c r="CK243" s="48"/>
      <c r="CL243" s="48"/>
      <c r="CM243" s="48"/>
      <c r="CN243" s="48"/>
      <c r="CO243" s="48"/>
      <c r="CP243" s="48"/>
      <c r="CQ243" s="48"/>
      <c r="CR243" s="48"/>
      <c r="CS243" s="48"/>
      <c r="CT243" s="48"/>
      <c r="CU243" s="48"/>
      <c r="CV243" s="48"/>
      <c r="CW243" s="19"/>
      <c r="CX243" s="19"/>
      <c r="CY243" s="19"/>
      <c r="CZ243" s="19"/>
      <c r="DA243" s="21"/>
      <c r="DB243" s="21"/>
      <c r="DC243" s="79"/>
      <c r="DD243" s="79"/>
      <c r="DE243" s="79"/>
      <c r="DF243" s="79"/>
      <c r="DG243" s="79"/>
      <c r="DH243" s="51"/>
      <c r="DI243" s="39"/>
      <c r="DJ243" s="80"/>
      <c r="DK243" s="39"/>
      <c r="DL243" s="39"/>
      <c r="DM243" s="48"/>
      <c r="DN243" s="39"/>
      <c r="DO243" s="39"/>
      <c r="DP243" s="39"/>
      <c r="DQ243" s="39"/>
      <c r="DR243" s="39"/>
      <c r="DS243" s="39"/>
      <c r="DT243" s="39"/>
      <c r="DU243" s="19"/>
      <c r="DV243" s="40"/>
      <c r="DW243" s="40"/>
      <c r="DX243" s="46"/>
      <c r="DY243" s="21"/>
      <c r="DZ243" s="19"/>
      <c r="EA243" s="19"/>
      <c r="EB243" s="19"/>
      <c r="EC243" s="48"/>
      <c r="ED243" s="48"/>
      <c r="EE243" s="22"/>
      <c r="EF243" s="22"/>
      <c r="EG243" s="22"/>
      <c r="EH243" s="22"/>
      <c r="EI243" s="22"/>
      <c r="EJ243" s="22"/>
      <c r="EK243" s="40"/>
      <c r="EL243" s="19"/>
      <c r="EM243" s="19"/>
      <c r="EN243" s="40"/>
      <c r="EO243" s="40"/>
      <c r="EP243" s="40"/>
      <c r="EQ243" s="21"/>
      <c r="ER243" s="21"/>
      <c r="ES243" s="21"/>
      <c r="ET243" s="21"/>
      <c r="EU243" s="19"/>
      <c r="EV243" s="21"/>
      <c r="EW243" s="39"/>
      <c r="EX243" s="39"/>
      <c r="EY243" s="39"/>
      <c r="EZ243" s="39"/>
      <c r="FA243" s="39"/>
      <c r="FB243" s="39"/>
      <c r="FC243" s="39"/>
      <c r="FD243" s="39"/>
      <c r="FE243" s="39"/>
      <c r="FF243" s="39"/>
      <c r="FG243" s="39"/>
      <c r="FH243" s="39"/>
      <c r="FI243" s="39"/>
      <c r="FJ243" s="19"/>
      <c r="FK243" s="19"/>
      <c r="FL243" s="19"/>
      <c r="FM243" s="19"/>
      <c r="FN243" s="19"/>
      <c r="FO243" s="22">
        <v>9959.61</v>
      </c>
      <c r="FP243" s="52">
        <v>10382.51</v>
      </c>
      <c r="FQ243" s="22"/>
      <c r="FR243" s="22" t="s">
        <v>633</v>
      </c>
      <c r="FS243" s="22" t="s">
        <v>633</v>
      </c>
      <c r="FT243" s="22"/>
      <c r="FU243" s="40" t="s">
        <v>657</v>
      </c>
      <c r="FV243" s="19"/>
      <c r="FW243" s="19"/>
      <c r="FX243" s="19"/>
      <c r="FY243" s="19"/>
      <c r="FZ243" s="19"/>
      <c r="GA243" s="19"/>
      <c r="GB243" s="19"/>
      <c r="GC243" s="20"/>
      <c r="GD243" s="20"/>
      <c r="GE243" s="19"/>
      <c r="GF243" s="21"/>
      <c r="GG243" s="19"/>
      <c r="GH243" s="19"/>
      <c r="GI243" s="19"/>
      <c r="GJ243" s="21"/>
      <c r="GK243" s="19"/>
      <c r="GL243" s="19"/>
      <c r="GM243" s="19"/>
      <c r="GN243" s="19"/>
      <c r="GO243" s="22">
        <v>10382.51</v>
      </c>
      <c r="GP243" s="22">
        <v>10697.6</v>
      </c>
      <c r="GQ243" s="22"/>
      <c r="GR243" s="22" t="s">
        <v>633</v>
      </c>
      <c r="GS243" s="22" t="s">
        <v>633</v>
      </c>
      <c r="GT243" s="22"/>
      <c r="GU243" s="40" t="s">
        <v>657</v>
      </c>
      <c r="GV243" s="19"/>
      <c r="GW243" s="19"/>
      <c r="GX243" s="19"/>
      <c r="GY243" s="19"/>
      <c r="GZ243" s="23"/>
      <c r="HA243" s="22">
        <v>10697.6</v>
      </c>
      <c r="HB243" s="22">
        <v>11037.88</v>
      </c>
      <c r="HC243" s="22"/>
      <c r="HD243" s="52" t="s">
        <v>633</v>
      </c>
      <c r="HE243" s="22" t="s">
        <v>633</v>
      </c>
      <c r="HF243" s="22"/>
      <c r="HG243" s="236" t="s">
        <v>657</v>
      </c>
    </row>
    <row r="244" spans="2:215" ht="15.6" customHeight="1">
      <c r="B244" s="11"/>
      <c r="C244" s="184" t="s">
        <v>300</v>
      </c>
      <c r="D244" s="144"/>
      <c r="E244" s="144"/>
      <c r="F244" s="74"/>
      <c r="G244" s="74"/>
      <c r="H244" s="74"/>
      <c r="I244" s="144"/>
      <c r="J244" s="74"/>
      <c r="K244" s="74"/>
      <c r="L244" s="74"/>
      <c r="M244" s="144"/>
      <c r="N244" s="144"/>
      <c r="O244" s="74"/>
      <c r="P244" s="74"/>
      <c r="Q244" s="74"/>
      <c r="R244" s="144"/>
      <c r="S244" s="74"/>
      <c r="T244" s="74"/>
      <c r="U244" s="74"/>
      <c r="V244" s="130"/>
      <c r="W244" s="130"/>
      <c r="X244" s="22"/>
      <c r="Y244" s="130"/>
      <c r="Z244" s="22"/>
      <c r="AA244" s="130"/>
      <c r="AB244" s="22"/>
      <c r="AC244" s="130"/>
      <c r="AD244" s="130"/>
      <c r="AE244" s="22"/>
      <c r="AF244" s="22"/>
      <c r="AG244" s="22"/>
      <c r="AH244" s="52"/>
      <c r="AI244" s="52"/>
      <c r="AJ244" s="22"/>
      <c r="AK244" s="52"/>
      <c r="AL244" s="22"/>
      <c r="AM244" s="52"/>
      <c r="AN244" s="22"/>
      <c r="AO244" s="22"/>
      <c r="AP244" s="22"/>
      <c r="AQ244" s="22"/>
      <c r="AR244" s="22"/>
      <c r="AS244" s="22"/>
      <c r="AT244" s="22"/>
      <c r="AU244" s="22"/>
      <c r="AV244" s="77"/>
      <c r="AW244" s="77"/>
      <c r="AX244" s="78"/>
      <c r="AY244" s="22"/>
      <c r="AZ244" s="22"/>
      <c r="BA244" s="22"/>
      <c r="BB244" s="22"/>
      <c r="BC244" s="22"/>
      <c r="BD244" s="22"/>
      <c r="BE244" s="22"/>
      <c r="BF244" s="22"/>
      <c r="BG244" s="22"/>
      <c r="BH244" s="22"/>
      <c r="BI244" s="22"/>
      <c r="BJ244" s="40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48"/>
      <c r="CF244" s="48"/>
      <c r="CG244" s="48"/>
      <c r="CH244" s="48"/>
      <c r="CI244" s="48"/>
      <c r="CJ244" s="48"/>
      <c r="CK244" s="48"/>
      <c r="CL244" s="48"/>
      <c r="CM244" s="48"/>
      <c r="CN244" s="48"/>
      <c r="CO244" s="48"/>
      <c r="CP244" s="48"/>
      <c r="CQ244" s="48"/>
      <c r="CR244" s="48"/>
      <c r="CS244" s="48"/>
      <c r="CT244" s="48"/>
      <c r="CU244" s="48"/>
      <c r="CV244" s="48"/>
      <c r="CW244" s="19"/>
      <c r="CX244" s="19"/>
      <c r="CY244" s="19"/>
      <c r="CZ244" s="19"/>
      <c r="DA244" s="21"/>
      <c r="DB244" s="21"/>
      <c r="DC244" s="79"/>
      <c r="DD244" s="79"/>
      <c r="DE244" s="79"/>
      <c r="DF244" s="79"/>
      <c r="DG244" s="79"/>
      <c r="DH244" s="51"/>
      <c r="DI244" s="39"/>
      <c r="DJ244" s="80"/>
      <c r="DK244" s="39"/>
      <c r="DL244" s="39"/>
      <c r="DM244" s="48"/>
      <c r="DN244" s="39"/>
      <c r="DO244" s="39"/>
      <c r="DP244" s="39"/>
      <c r="DQ244" s="39"/>
      <c r="DR244" s="39"/>
      <c r="DS244" s="39"/>
      <c r="DT244" s="39"/>
      <c r="DU244" s="19"/>
      <c r="DV244" s="40"/>
      <c r="DW244" s="40"/>
      <c r="DX244" s="46"/>
      <c r="DY244" s="21"/>
      <c r="DZ244" s="19"/>
      <c r="EA244" s="19"/>
      <c r="EB244" s="19"/>
      <c r="EC244" s="48"/>
      <c r="ED244" s="48"/>
      <c r="EE244" s="22"/>
      <c r="EF244" s="22"/>
      <c r="EG244" s="22"/>
      <c r="EH244" s="22"/>
      <c r="EI244" s="22"/>
      <c r="EJ244" s="22"/>
      <c r="EK244" s="40"/>
      <c r="EL244" s="19"/>
      <c r="EM244" s="19"/>
      <c r="EN244" s="40"/>
      <c r="EO244" s="40"/>
      <c r="EP244" s="40"/>
      <c r="EQ244" s="21"/>
      <c r="ER244" s="21"/>
      <c r="ES244" s="21"/>
      <c r="ET244" s="21"/>
      <c r="EU244" s="19"/>
      <c r="EV244" s="21"/>
      <c r="EW244" s="39"/>
      <c r="EX244" s="39"/>
      <c r="EY244" s="39"/>
      <c r="EZ244" s="39"/>
      <c r="FA244" s="39"/>
      <c r="FB244" s="39"/>
      <c r="FC244" s="39"/>
      <c r="FD244" s="39"/>
      <c r="FE244" s="39"/>
      <c r="FF244" s="39"/>
      <c r="FG244" s="39"/>
      <c r="FH244" s="39"/>
      <c r="FI244" s="39"/>
      <c r="FJ244" s="19"/>
      <c r="FK244" s="19"/>
      <c r="FL244" s="19"/>
      <c r="FM244" s="19"/>
      <c r="FN244" s="19"/>
      <c r="FO244" s="22">
        <v>666.47</v>
      </c>
      <c r="FP244" s="22">
        <v>693.51</v>
      </c>
      <c r="FQ244" s="22"/>
      <c r="FR244" s="22" t="s">
        <v>633</v>
      </c>
      <c r="FS244" s="22" t="s">
        <v>633</v>
      </c>
      <c r="FT244" s="22"/>
      <c r="FU244" s="40" t="s">
        <v>684</v>
      </c>
      <c r="FV244" s="19"/>
      <c r="FW244" s="19"/>
      <c r="FX244" s="19"/>
      <c r="FY244" s="19"/>
      <c r="FZ244" s="19"/>
      <c r="GA244" s="19"/>
      <c r="GB244" s="19"/>
      <c r="GC244" s="20"/>
      <c r="GD244" s="20"/>
      <c r="GE244" s="21"/>
      <c r="GF244" s="21"/>
      <c r="GG244" s="21"/>
      <c r="GH244" s="21"/>
      <c r="GI244" s="21"/>
      <c r="GJ244" s="21"/>
      <c r="GK244" s="21"/>
      <c r="GL244" s="21"/>
      <c r="GM244" s="19"/>
      <c r="GN244" s="19"/>
      <c r="GO244" s="22">
        <v>693.51</v>
      </c>
      <c r="GP244" s="22">
        <v>719.86</v>
      </c>
      <c r="GQ244" s="22"/>
      <c r="GR244" s="52" t="s">
        <v>633</v>
      </c>
      <c r="GS244" s="22" t="s">
        <v>633</v>
      </c>
      <c r="GT244" s="22"/>
      <c r="GU244" s="40" t="s">
        <v>684</v>
      </c>
      <c r="GV244" s="19"/>
      <c r="GW244" s="19"/>
      <c r="GX244" s="19"/>
      <c r="GY244" s="19"/>
      <c r="GZ244" s="23"/>
      <c r="HA244" s="22">
        <v>719.86</v>
      </c>
      <c r="HB244" s="22">
        <v>748.65</v>
      </c>
      <c r="HC244" s="22"/>
      <c r="HD244" s="52" t="s">
        <v>633</v>
      </c>
      <c r="HE244" s="22" t="s">
        <v>633</v>
      </c>
      <c r="HF244" s="22"/>
      <c r="HG244" s="236" t="s">
        <v>684</v>
      </c>
    </row>
    <row r="245" spans="2:215" ht="15.6" customHeight="1">
      <c r="B245" s="15"/>
      <c r="C245" s="81" t="s">
        <v>639</v>
      </c>
      <c r="D245" s="144"/>
      <c r="E245" s="144"/>
      <c r="F245" s="74"/>
      <c r="G245" s="74"/>
      <c r="H245" s="74"/>
      <c r="I245" s="144"/>
      <c r="J245" s="74"/>
      <c r="K245" s="74"/>
      <c r="L245" s="74"/>
      <c r="M245" s="144"/>
      <c r="N245" s="144"/>
      <c r="O245" s="74"/>
      <c r="P245" s="74"/>
      <c r="Q245" s="74"/>
      <c r="R245" s="144"/>
      <c r="S245" s="74"/>
      <c r="T245" s="74"/>
      <c r="U245" s="74"/>
      <c r="V245" s="130"/>
      <c r="W245" s="130"/>
      <c r="X245" s="22"/>
      <c r="Y245" s="130"/>
      <c r="Z245" s="22"/>
      <c r="AA245" s="130"/>
      <c r="AB245" s="22"/>
      <c r="AC245" s="130"/>
      <c r="AD245" s="130"/>
      <c r="AE245" s="22"/>
      <c r="AF245" s="22"/>
      <c r="AG245" s="22"/>
      <c r="AH245" s="52"/>
      <c r="AI245" s="52"/>
      <c r="AJ245" s="22"/>
      <c r="AK245" s="52"/>
      <c r="AL245" s="22"/>
      <c r="AM245" s="52"/>
      <c r="AN245" s="22"/>
      <c r="AO245" s="22"/>
      <c r="AP245" s="22"/>
      <c r="AQ245" s="22"/>
      <c r="AR245" s="22"/>
      <c r="AS245" s="22"/>
      <c r="AT245" s="22"/>
      <c r="AU245" s="22"/>
      <c r="AV245" s="77"/>
      <c r="AW245" s="77"/>
      <c r="AX245" s="78"/>
      <c r="AY245" s="22"/>
      <c r="AZ245" s="22"/>
      <c r="BA245" s="22"/>
      <c r="BB245" s="22"/>
      <c r="BC245" s="22"/>
      <c r="BD245" s="22"/>
      <c r="BE245" s="22"/>
      <c r="BF245" s="22"/>
      <c r="BG245" s="22"/>
      <c r="BH245" s="22"/>
      <c r="BI245" s="22"/>
      <c r="BJ245" s="40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48"/>
      <c r="CF245" s="48"/>
      <c r="CG245" s="48"/>
      <c r="CH245" s="48"/>
      <c r="CI245" s="48"/>
      <c r="CJ245" s="48"/>
      <c r="CK245" s="48"/>
      <c r="CL245" s="48"/>
      <c r="CM245" s="48"/>
      <c r="CN245" s="48"/>
      <c r="CO245" s="48"/>
      <c r="CP245" s="48"/>
      <c r="CQ245" s="48"/>
      <c r="CR245" s="48"/>
      <c r="CS245" s="48"/>
      <c r="CT245" s="48"/>
      <c r="CU245" s="48"/>
      <c r="CV245" s="48"/>
      <c r="CW245" s="19"/>
      <c r="CX245" s="19"/>
      <c r="CY245" s="19"/>
      <c r="CZ245" s="19"/>
      <c r="DA245" s="21"/>
      <c r="DB245" s="21"/>
      <c r="DC245" s="79"/>
      <c r="DD245" s="79"/>
      <c r="DE245" s="79"/>
      <c r="DF245" s="79"/>
      <c r="DG245" s="79"/>
      <c r="DH245" s="51"/>
      <c r="DI245" s="39"/>
      <c r="DJ245" s="80"/>
      <c r="DK245" s="39"/>
      <c r="DL245" s="39"/>
      <c r="DM245" s="48"/>
      <c r="DN245" s="39"/>
      <c r="DO245" s="39"/>
      <c r="DP245" s="39"/>
      <c r="DQ245" s="39"/>
      <c r="DR245" s="39"/>
      <c r="DS245" s="39"/>
      <c r="DT245" s="39"/>
      <c r="DU245" s="19"/>
      <c r="DV245" s="40"/>
      <c r="DW245" s="40"/>
      <c r="DX245" s="46"/>
      <c r="DY245" s="21"/>
      <c r="DZ245" s="19"/>
      <c r="EA245" s="19"/>
      <c r="EB245" s="19"/>
      <c r="EC245" s="48"/>
      <c r="ED245" s="48"/>
      <c r="EE245" s="22"/>
      <c r="EF245" s="22"/>
      <c r="EG245" s="22"/>
      <c r="EH245" s="22"/>
      <c r="EI245" s="22"/>
      <c r="EJ245" s="22"/>
      <c r="EK245" s="40"/>
      <c r="EL245" s="19"/>
      <c r="EM245" s="19"/>
      <c r="EN245" s="40"/>
      <c r="EO245" s="40"/>
      <c r="EP245" s="40"/>
      <c r="EQ245" s="21"/>
      <c r="ER245" s="21"/>
      <c r="ES245" s="21"/>
      <c r="ET245" s="21"/>
      <c r="EU245" s="19"/>
      <c r="EV245" s="21"/>
      <c r="EW245" s="39"/>
      <c r="EX245" s="39"/>
      <c r="EY245" s="39"/>
      <c r="EZ245" s="39"/>
      <c r="FA245" s="39"/>
      <c r="FB245" s="39"/>
      <c r="FC245" s="39"/>
      <c r="FD245" s="39"/>
      <c r="FE245" s="39"/>
      <c r="FF245" s="39"/>
      <c r="FG245" s="39"/>
      <c r="FH245" s="39"/>
      <c r="FI245" s="39"/>
      <c r="FJ245" s="19"/>
      <c r="FK245" s="19"/>
      <c r="FL245" s="19"/>
      <c r="FM245" s="19"/>
      <c r="FN245" s="19"/>
      <c r="FO245" s="22"/>
      <c r="FP245" s="22"/>
      <c r="FQ245" s="22"/>
      <c r="FR245" s="22"/>
      <c r="FS245" s="22"/>
      <c r="FT245" s="22"/>
      <c r="FU245" s="40"/>
      <c r="FV245" s="19"/>
      <c r="FW245" s="19"/>
      <c r="FX245" s="19"/>
      <c r="FY245" s="19"/>
      <c r="FZ245" s="19"/>
      <c r="GA245" s="19"/>
      <c r="GB245" s="19"/>
      <c r="GC245" s="20"/>
      <c r="GD245" s="20"/>
      <c r="GE245" s="21"/>
      <c r="GF245" s="21"/>
      <c r="GG245" s="21"/>
      <c r="GH245" s="21"/>
      <c r="GI245" s="21"/>
      <c r="GJ245" s="21"/>
      <c r="GK245" s="21"/>
      <c r="GL245" s="21"/>
      <c r="GM245" s="19"/>
      <c r="GN245" s="19"/>
      <c r="GO245" s="22"/>
      <c r="GP245" s="22"/>
      <c r="GQ245" s="22"/>
      <c r="GR245" s="22"/>
      <c r="GS245" s="22"/>
      <c r="GT245" s="22"/>
      <c r="GU245" s="43"/>
      <c r="GV245" s="19"/>
      <c r="GW245" s="19"/>
      <c r="GX245" s="19"/>
      <c r="GY245" s="19"/>
      <c r="GZ245" s="23"/>
      <c r="HA245" s="22"/>
      <c r="HB245" s="22"/>
      <c r="HC245" s="22"/>
      <c r="HD245" s="22"/>
      <c r="HE245" s="22"/>
      <c r="HF245" s="22"/>
      <c r="HG245" s="233"/>
    </row>
    <row r="246" spans="2:215" ht="16.149999999999999" customHeight="1" thickBot="1">
      <c r="B246" s="15"/>
      <c r="C246" s="184" t="s">
        <v>640</v>
      </c>
      <c r="D246" s="76"/>
      <c r="E246" s="173"/>
      <c r="F246" s="74"/>
      <c r="G246" s="74"/>
      <c r="H246" s="74"/>
      <c r="I246" s="173"/>
      <c r="J246" s="173"/>
      <c r="K246" s="173"/>
      <c r="L246" s="173"/>
      <c r="M246" s="173"/>
      <c r="N246" s="173"/>
      <c r="O246" s="74"/>
      <c r="P246" s="74"/>
      <c r="Q246" s="74"/>
      <c r="R246" s="173"/>
      <c r="S246" s="173"/>
      <c r="T246" s="173"/>
      <c r="U246" s="173"/>
      <c r="V246" s="22"/>
      <c r="W246" s="22"/>
      <c r="X246" s="5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52"/>
      <c r="AK246" s="22"/>
      <c r="AL246" s="22"/>
      <c r="AM246" s="22"/>
      <c r="AN246" s="22"/>
      <c r="AO246" s="22"/>
      <c r="AP246" s="22"/>
      <c r="AQ246" s="22"/>
      <c r="AR246" s="22"/>
      <c r="AS246" s="22"/>
      <c r="AT246" s="22"/>
      <c r="AU246" s="22"/>
      <c r="AV246" s="77"/>
      <c r="AW246" s="77"/>
      <c r="AX246" s="78"/>
      <c r="AY246" s="22"/>
      <c r="AZ246" s="22"/>
      <c r="BA246" s="22"/>
      <c r="BB246" s="22"/>
      <c r="BC246" s="22"/>
      <c r="BD246" s="22"/>
      <c r="BE246" s="22"/>
      <c r="BF246" s="22"/>
      <c r="BG246" s="22"/>
      <c r="BH246" s="22"/>
      <c r="BI246" s="22"/>
      <c r="BJ246" s="40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48"/>
      <c r="CF246" s="48"/>
      <c r="CG246" s="48"/>
      <c r="CH246" s="48"/>
      <c r="CI246" s="48"/>
      <c r="CJ246" s="48"/>
      <c r="CK246" s="48"/>
      <c r="CL246" s="48"/>
      <c r="CM246" s="48"/>
      <c r="CN246" s="48"/>
      <c r="CO246" s="48"/>
      <c r="CP246" s="48"/>
      <c r="CQ246" s="48"/>
      <c r="CR246" s="48"/>
      <c r="CS246" s="48"/>
      <c r="CT246" s="48"/>
      <c r="CU246" s="48"/>
      <c r="CV246" s="48"/>
      <c r="CW246" s="19"/>
      <c r="CX246" s="19"/>
      <c r="CY246" s="19"/>
      <c r="CZ246" s="19"/>
      <c r="DA246" s="21"/>
      <c r="DB246" s="21"/>
      <c r="DC246" s="79"/>
      <c r="DD246" s="79"/>
      <c r="DE246" s="79"/>
      <c r="DF246" s="79"/>
      <c r="DG246" s="79"/>
      <c r="DH246" s="51"/>
      <c r="DI246" s="39"/>
      <c r="DJ246" s="80"/>
      <c r="DK246" s="39"/>
      <c r="DL246" s="39"/>
      <c r="DM246" s="48"/>
      <c r="DN246" s="39"/>
      <c r="DO246" s="39"/>
      <c r="DP246" s="39"/>
      <c r="DQ246" s="39"/>
      <c r="DR246" s="39"/>
      <c r="DS246" s="39"/>
      <c r="DT246" s="39"/>
      <c r="DU246" s="19"/>
      <c r="DV246" s="40"/>
      <c r="DW246" s="40"/>
      <c r="DX246" s="21"/>
      <c r="DY246" s="21"/>
      <c r="DZ246" s="19"/>
      <c r="EA246" s="19"/>
      <c r="EB246" s="19"/>
      <c r="EC246" s="48"/>
      <c r="ED246" s="48"/>
      <c r="EE246" s="22"/>
      <c r="EF246" s="22"/>
      <c r="EG246" s="22"/>
      <c r="EH246" s="22"/>
      <c r="EI246" s="22"/>
      <c r="EJ246" s="22"/>
      <c r="EK246" s="40"/>
      <c r="EL246" s="19"/>
      <c r="EM246" s="19"/>
      <c r="EN246" s="40"/>
      <c r="EO246" s="40"/>
      <c r="EP246" s="40"/>
      <c r="EQ246" s="21"/>
      <c r="ER246" s="21"/>
      <c r="ES246" s="21"/>
      <c r="ET246" s="21"/>
      <c r="EU246" s="19"/>
      <c r="EV246" s="21"/>
      <c r="EW246" s="39"/>
      <c r="EX246" s="39"/>
      <c r="EY246" s="39"/>
      <c r="EZ246" s="39"/>
      <c r="FA246" s="39"/>
      <c r="FB246" s="39"/>
      <c r="FC246" s="39"/>
      <c r="FD246" s="39"/>
      <c r="FE246" s="39"/>
      <c r="FF246" s="39"/>
      <c r="FG246" s="39"/>
      <c r="FH246" s="39"/>
      <c r="FI246" s="39"/>
      <c r="FJ246" s="19"/>
      <c r="FK246" s="19"/>
      <c r="FL246" s="19"/>
      <c r="FM246" s="19"/>
      <c r="FN246" s="19"/>
      <c r="FO246" s="22">
        <v>288.14</v>
      </c>
      <c r="FP246" s="22">
        <v>295.93</v>
      </c>
      <c r="FQ246" s="22"/>
      <c r="FR246" s="22">
        <v>288.14</v>
      </c>
      <c r="FS246" s="22">
        <v>295.93</v>
      </c>
      <c r="FT246" s="22"/>
      <c r="FU246" s="40" t="s">
        <v>628</v>
      </c>
      <c r="FV246" s="19"/>
      <c r="FW246" s="19"/>
      <c r="FX246" s="19"/>
      <c r="FY246" s="19"/>
      <c r="FZ246" s="19"/>
      <c r="GA246" s="19"/>
      <c r="GB246" s="19"/>
      <c r="GC246" s="20"/>
      <c r="GD246" s="20"/>
      <c r="GE246" s="21"/>
      <c r="GF246" s="21"/>
      <c r="GG246" s="21"/>
      <c r="GH246" s="21"/>
      <c r="GI246" s="21"/>
      <c r="GJ246" s="21"/>
      <c r="GK246" s="21"/>
      <c r="GL246" s="21"/>
      <c r="GM246" s="19"/>
      <c r="GN246" s="19"/>
      <c r="GO246" s="57">
        <v>295.93</v>
      </c>
      <c r="GP246" s="57">
        <v>303.45999999999998</v>
      </c>
      <c r="GQ246" s="57"/>
      <c r="GR246" s="57">
        <v>295.93</v>
      </c>
      <c r="GS246" s="57">
        <v>303.45999999999998</v>
      </c>
      <c r="GT246" s="22"/>
      <c r="GU246" s="40" t="s">
        <v>628</v>
      </c>
      <c r="GV246" s="19"/>
      <c r="GW246" s="19"/>
      <c r="GX246" s="19"/>
      <c r="GY246" s="19"/>
      <c r="GZ246" s="19"/>
      <c r="HA246" s="22">
        <v>303.45999999999998</v>
      </c>
      <c r="HB246" s="22">
        <v>312.8</v>
      </c>
      <c r="HC246" s="22"/>
      <c r="HD246" s="22">
        <v>303.45999999999998</v>
      </c>
      <c r="HE246" s="22">
        <v>312.8</v>
      </c>
      <c r="HF246" s="22"/>
      <c r="HG246" s="236" t="s">
        <v>628</v>
      </c>
    </row>
    <row r="247" spans="2:215" ht="16.5" thickBot="1">
      <c r="B247" s="7" t="s">
        <v>119</v>
      </c>
      <c r="C247" s="80" t="s">
        <v>386</v>
      </c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>
        <f t="shared" si="927"/>
        <v>0</v>
      </c>
      <c r="Y247" s="80"/>
      <c r="Z247" s="80">
        <f t="shared" si="1040"/>
        <v>0</v>
      </c>
      <c r="AA247" s="80"/>
      <c r="AB247" s="80">
        <f t="shared" si="1041"/>
        <v>0</v>
      </c>
      <c r="AC247" s="80"/>
      <c r="AD247" s="80"/>
      <c r="AE247" s="80">
        <f t="shared" si="1028"/>
        <v>0</v>
      </c>
      <c r="AF247" s="80"/>
      <c r="AG247" s="80">
        <f>+IF(AC247=0,,AF247/AC247*100)</f>
        <v>0</v>
      </c>
      <c r="AH247" s="80"/>
      <c r="AI247" s="80"/>
      <c r="AJ247" s="80">
        <f t="shared" si="1042"/>
        <v>0</v>
      </c>
      <c r="AK247" s="80"/>
      <c r="AL247" s="80">
        <f t="shared" si="1043"/>
        <v>0</v>
      </c>
      <c r="AM247" s="80"/>
      <c r="AN247" s="80">
        <f t="shared" si="1044"/>
        <v>0</v>
      </c>
      <c r="AO247" s="80">
        <f t="shared" si="928"/>
        <v>0</v>
      </c>
      <c r="AP247" s="80">
        <f t="shared" si="1045"/>
        <v>0</v>
      </c>
      <c r="AQ247" s="80"/>
      <c r="AR247" s="80"/>
      <c r="AS247" s="80">
        <f t="shared" si="1023"/>
        <v>0</v>
      </c>
      <c r="AT247" s="80"/>
      <c r="AU247" s="80">
        <f>+IF(AQ247=0,,AT247/AQ247*100)</f>
        <v>0</v>
      </c>
      <c r="AV247" s="77"/>
      <c r="AW247" s="77" t="e">
        <f>+CY247/$CY$247*100</f>
        <v>#DIV/0!</v>
      </c>
      <c r="AX247" s="78"/>
      <c r="AY247" s="80">
        <f t="shared" si="1046"/>
        <v>0</v>
      </c>
      <c r="AZ247" s="80"/>
      <c r="BA247" s="80"/>
      <c r="BB247" s="80"/>
      <c r="BC247" s="80"/>
      <c r="BD247" s="80"/>
      <c r="BE247" s="22">
        <f t="shared" si="1047"/>
        <v>0</v>
      </c>
      <c r="BF247" s="80"/>
      <c r="BG247" s="80"/>
      <c r="BH247" s="22">
        <f t="shared" si="1048"/>
        <v>0</v>
      </c>
      <c r="BI247" s="22"/>
      <c r="BJ247" s="40"/>
      <c r="BK247" s="80">
        <f t="shared" si="979"/>
        <v>0</v>
      </c>
      <c r="BL247" s="80">
        <f t="shared" si="1003"/>
        <v>0</v>
      </c>
      <c r="BM247" s="80">
        <f t="shared" si="1004"/>
        <v>0</v>
      </c>
      <c r="BN247" s="80">
        <f t="shared" si="1005"/>
        <v>0</v>
      </c>
      <c r="BO247" s="80">
        <f t="shared" si="980"/>
        <v>0</v>
      </c>
      <c r="BP247" s="80">
        <f t="shared" si="1006"/>
        <v>0</v>
      </c>
      <c r="BQ247" s="80">
        <f t="shared" si="1049"/>
        <v>0</v>
      </c>
      <c r="BR247" s="80">
        <f t="shared" si="1007"/>
        <v>0</v>
      </c>
      <c r="BS247" s="80">
        <f t="shared" si="981"/>
        <v>0</v>
      </c>
      <c r="BT247" s="80">
        <f t="shared" si="1008"/>
        <v>0</v>
      </c>
      <c r="BU247" s="80">
        <f t="shared" si="1050"/>
        <v>0</v>
      </c>
      <c r="BV247" s="80">
        <f t="shared" si="1009"/>
        <v>0</v>
      </c>
      <c r="BW247" s="80"/>
      <c r="BX247" s="48">
        <f>+SUM(BX248:BX254)</f>
        <v>0</v>
      </c>
      <c r="BY247" s="48">
        <f>+SUM(BY248:BY254)</f>
        <v>0</v>
      </c>
      <c r="BZ247" s="80">
        <f>+AC247*R247/1000</f>
        <v>0</v>
      </c>
      <c r="CA247" s="80"/>
      <c r="CB247" s="48">
        <f>+SUM(CB248:CB254)</f>
        <v>0</v>
      </c>
      <c r="CC247" s="48">
        <f>+SUM(CC248:CC254)</f>
        <v>0</v>
      </c>
      <c r="CD247" s="80">
        <f t="shared" si="906"/>
        <v>0</v>
      </c>
      <c r="CE247" s="80">
        <f t="shared" si="952"/>
        <v>0</v>
      </c>
      <c r="CF247" s="80">
        <f t="shared" si="953"/>
        <v>0</v>
      </c>
      <c r="CG247" s="80">
        <f t="shared" si="954"/>
        <v>0</v>
      </c>
      <c r="CH247" s="80">
        <f t="shared" si="955"/>
        <v>0</v>
      </c>
      <c r="CI247" s="80">
        <f t="shared" si="956"/>
        <v>0</v>
      </c>
      <c r="CJ247" s="80">
        <f t="shared" si="957"/>
        <v>0</v>
      </c>
      <c r="CK247" s="80">
        <f t="shared" si="958"/>
        <v>0</v>
      </c>
      <c r="CL247" s="80">
        <f t="shared" si="959"/>
        <v>0</v>
      </c>
      <c r="CM247" s="80">
        <f t="shared" si="960"/>
        <v>0</v>
      </c>
      <c r="CN247" s="80">
        <f t="shared" si="929"/>
        <v>0</v>
      </c>
      <c r="CO247" s="80">
        <f t="shared" si="961"/>
        <v>0</v>
      </c>
      <c r="CP247" s="80">
        <f t="shared" si="962"/>
        <v>0</v>
      </c>
      <c r="CQ247" s="80">
        <f t="shared" si="963"/>
        <v>0</v>
      </c>
      <c r="CR247" s="80">
        <f t="shared" si="964"/>
        <v>0</v>
      </c>
      <c r="CS247" s="80">
        <f t="shared" si="965"/>
        <v>0</v>
      </c>
      <c r="CT247" s="80">
        <f t="shared" si="966"/>
        <v>0</v>
      </c>
      <c r="CU247" s="80">
        <f t="shared" si="930"/>
        <v>0</v>
      </c>
      <c r="CV247" s="80">
        <f t="shared" si="967"/>
        <v>0</v>
      </c>
      <c r="CW247" s="48">
        <f>+SUM(CW248:CW254)</f>
        <v>0</v>
      </c>
      <c r="CX247" s="48">
        <f>+SUM(CX248:CX254)</f>
        <v>0</v>
      </c>
      <c r="CY247" s="48">
        <f>+SUM(CY248:CY254)</f>
        <v>0</v>
      </c>
      <c r="CZ247" s="48">
        <f>+SUM(CZ248:CZ254)</f>
        <v>0</v>
      </c>
      <c r="DA247" s="20">
        <f t="shared" si="968"/>
        <v>0</v>
      </c>
      <c r="DB247" s="20">
        <f t="shared" si="969"/>
        <v>0</v>
      </c>
      <c r="DC247" s="20">
        <f t="shared" si="970"/>
        <v>0</v>
      </c>
      <c r="DD247" s="20">
        <f t="shared" si="970"/>
        <v>0</v>
      </c>
      <c r="DE247" s="79">
        <f t="shared" si="1031"/>
        <v>0</v>
      </c>
      <c r="DF247" s="79">
        <f t="shared" si="1031"/>
        <v>0</v>
      </c>
      <c r="DG247" s="79">
        <f t="shared" ref="DG247:DG257" si="1056">+AF247*(Q247+U247)/1000</f>
        <v>0</v>
      </c>
      <c r="DH247" s="51">
        <f t="shared" si="972"/>
        <v>0</v>
      </c>
      <c r="DI247" s="39"/>
      <c r="DJ247" s="80">
        <f t="shared" si="973"/>
        <v>0</v>
      </c>
      <c r="DK247" s="39">
        <f t="shared" si="974"/>
        <v>0</v>
      </c>
      <c r="DL247" s="39">
        <f t="shared" si="975"/>
        <v>0</v>
      </c>
      <c r="DM247" s="48">
        <f>+AT247-'[2]тарифы (12-13) население 15%'!AP294</f>
        <v>0</v>
      </c>
      <c r="DN247" s="39"/>
      <c r="DO247" s="39"/>
      <c r="DP247" s="39"/>
      <c r="DQ247" s="39"/>
      <c r="DR247" s="39"/>
      <c r="DS247" s="39"/>
      <c r="DT247" s="39"/>
      <c r="DU247" s="19">
        <f t="shared" si="1051"/>
        <v>0</v>
      </c>
      <c r="DV247" s="42">
        <f>+SUM(DV248:DV254)</f>
        <v>6424.4900504983034</v>
      </c>
      <c r="DW247" s="42">
        <f>+SUM(DW248:DW254)</f>
        <v>9387.6339669359968</v>
      </c>
      <c r="DX247" s="42">
        <f>+'[1]тарифы (НВВ) население на 4,2%'!CO306</f>
        <v>77.704370086726655</v>
      </c>
      <c r="DY247" s="42">
        <f t="shared" si="1032"/>
        <v>68.435668381680358</v>
      </c>
      <c r="DZ247" s="19">
        <f t="shared" si="1054"/>
        <v>0</v>
      </c>
      <c r="EA247" s="19">
        <f t="shared" si="1055"/>
        <v>0</v>
      </c>
      <c r="EB247" s="19"/>
      <c r="EC247" s="22">
        <f>+SUM(EC248:EC254)</f>
        <v>3014.2090282155923</v>
      </c>
      <c r="ED247" s="42">
        <f>+SUM(ED248:ED254)</f>
        <v>2963.1439164376943</v>
      </c>
      <c r="EE247" s="80"/>
      <c r="EF247" s="80"/>
      <c r="EG247" s="22">
        <f t="shared" si="1033"/>
        <v>0</v>
      </c>
      <c r="EH247" s="80"/>
      <c r="EI247" s="80"/>
      <c r="EJ247" s="22">
        <f t="shared" si="1034"/>
        <v>0</v>
      </c>
      <c r="EK247" s="40"/>
      <c r="EL247" s="40"/>
      <c r="EM247" s="40"/>
      <c r="EN247" s="146">
        <f>+SUM(EN248:EN254)</f>
        <v>3014.8503096610175</v>
      </c>
      <c r="EO247" s="146">
        <f>+SUM(EO248:EO254)</f>
        <v>4903.2613718000002</v>
      </c>
      <c r="EP247" s="146" t="e">
        <f>+$EN$442/$EN$445*EN247</f>
        <v>#REF!</v>
      </c>
      <c r="EQ247" s="42">
        <f t="shared" si="1022"/>
        <v>61.486632693093782</v>
      </c>
      <c r="ER247" s="42" t="e">
        <f>+IF((EN247+EP247)=0,,(EN247+EP247)/(EO247+EP247))*100</f>
        <v>#REF!</v>
      </c>
      <c r="ES247" s="42"/>
      <c r="ET247" s="42"/>
      <c r="EU247" s="19">
        <f t="shared" si="1027"/>
        <v>0</v>
      </c>
      <c r="EV247" s="42"/>
      <c r="EW247" s="39"/>
      <c r="EX247" s="39">
        <f t="shared" ref="EX247:EX264" si="1057">+BD247*AY247</f>
        <v>0</v>
      </c>
      <c r="EY247" s="39">
        <f t="shared" si="951"/>
        <v>0</v>
      </c>
      <c r="EZ247" s="39"/>
      <c r="FA247" s="39"/>
      <c r="FB247" s="39"/>
      <c r="FC247" s="39"/>
      <c r="FD247" s="39"/>
      <c r="FE247" s="39"/>
      <c r="FF247" s="39"/>
      <c r="FG247" s="39"/>
      <c r="FH247" s="39"/>
      <c r="FI247" s="39"/>
      <c r="FJ247" s="41">
        <f>+SUM(FJ249:FJ254)</f>
        <v>2040.9720532067793</v>
      </c>
      <c r="FK247" s="41">
        <f>+SUM(FK249:FK254)</f>
        <v>1888.4110621389825</v>
      </c>
      <c r="FL247" s="41">
        <f t="shared" si="1025"/>
        <v>3929.3831153457618</v>
      </c>
      <c r="FM247" s="40"/>
      <c r="FN247" s="40"/>
      <c r="FO247" s="80">
        <f t="shared" si="1002"/>
        <v>0</v>
      </c>
      <c r="FP247" s="80"/>
      <c r="FQ247" s="22"/>
      <c r="FR247" s="80">
        <f t="shared" si="1011"/>
        <v>0</v>
      </c>
      <c r="FS247" s="80"/>
      <c r="FT247" s="22"/>
      <c r="FU247" s="40"/>
      <c r="FV247" s="41">
        <f t="shared" ref="FV247:GB247" si="1058">+SUM(FV249:FV254)</f>
        <v>0</v>
      </c>
      <c r="FW247" s="41">
        <f t="shared" si="1058"/>
        <v>0</v>
      </c>
      <c r="FX247" s="41">
        <f t="shared" si="1058"/>
        <v>0</v>
      </c>
      <c r="FY247" s="41">
        <f t="shared" si="1058"/>
        <v>0</v>
      </c>
      <c r="FZ247" s="41">
        <f t="shared" si="1058"/>
        <v>0</v>
      </c>
      <c r="GA247" s="41">
        <f t="shared" si="1058"/>
        <v>0</v>
      </c>
      <c r="GB247" s="41">
        <f t="shared" si="1058"/>
        <v>0</v>
      </c>
      <c r="GC247" s="20">
        <f t="shared" si="977"/>
        <v>0</v>
      </c>
      <c r="GD247" s="20">
        <f t="shared" si="945"/>
        <v>0</v>
      </c>
      <c r="GE247" s="42"/>
      <c r="GF247" s="42"/>
      <c r="GG247" s="42"/>
      <c r="GH247" s="42"/>
      <c r="GI247" s="42"/>
      <c r="GJ247" s="42"/>
      <c r="GK247" s="42"/>
      <c r="GL247" s="42"/>
      <c r="GM247" s="40"/>
      <c r="GN247" s="40"/>
      <c r="GO247" s="80"/>
      <c r="GP247" s="80"/>
      <c r="GQ247" s="22"/>
      <c r="GR247" s="80"/>
      <c r="GS247" s="80"/>
      <c r="GT247" s="22"/>
      <c r="GU247" s="43"/>
      <c r="GV247" s="41"/>
      <c r="GW247" s="41"/>
      <c r="GX247" s="145">
        <f>+SUM(GX248:GX254)</f>
        <v>0</v>
      </c>
      <c r="GY247" s="145">
        <f>+SUM(GY248:GY254)</f>
        <v>0</v>
      </c>
      <c r="GZ247" s="44">
        <f>+IF(GY247=0,,GX247/GY247*100)</f>
        <v>0</v>
      </c>
      <c r="HA247" s="80"/>
      <c r="HB247" s="80"/>
      <c r="HC247" s="22"/>
      <c r="HD247" s="80"/>
      <c r="HE247" s="80"/>
      <c r="HF247" s="22"/>
      <c r="HG247" s="233"/>
    </row>
    <row r="248" spans="2:215" s="8" customFormat="1" ht="15.75">
      <c r="B248" s="10" t="s">
        <v>387</v>
      </c>
      <c r="C248" s="81" t="s">
        <v>152</v>
      </c>
      <c r="D248" s="73"/>
      <c r="E248" s="73"/>
      <c r="F248" s="73"/>
      <c r="G248" s="73"/>
      <c r="H248" s="73"/>
      <c r="I248" s="73"/>
      <c r="J248" s="74"/>
      <c r="K248" s="74"/>
      <c r="L248" s="74"/>
      <c r="M248" s="73"/>
      <c r="N248" s="73"/>
      <c r="O248" s="73"/>
      <c r="P248" s="73"/>
      <c r="Q248" s="73"/>
      <c r="R248" s="73"/>
      <c r="S248" s="73"/>
      <c r="T248" s="73"/>
      <c r="U248" s="73"/>
      <c r="V248" s="52"/>
      <c r="W248" s="52"/>
      <c r="X248" s="52"/>
      <c r="Y248" s="52"/>
      <c r="Z248" s="22"/>
      <c r="AA248" s="52"/>
      <c r="AB248" s="22"/>
      <c r="AC248" s="52"/>
      <c r="AD248" s="52"/>
      <c r="AE248" s="22"/>
      <c r="AF248" s="22"/>
      <c r="AG248" s="22">
        <f t="shared" si="1029"/>
        <v>0</v>
      </c>
      <c r="AH248" s="52"/>
      <c r="AI248" s="52"/>
      <c r="AJ248" s="52"/>
      <c r="AK248" s="52"/>
      <c r="AL248" s="22"/>
      <c r="AM248" s="52"/>
      <c r="AN248" s="22"/>
      <c r="AO248" s="22"/>
      <c r="AP248" s="22"/>
      <c r="AQ248" s="52"/>
      <c r="AR248" s="52"/>
      <c r="AS248" s="22"/>
      <c r="AT248" s="22"/>
      <c r="AU248" s="22">
        <f t="shared" si="1030"/>
        <v>0</v>
      </c>
      <c r="AV248" s="77"/>
      <c r="AW248" s="77"/>
      <c r="AX248" s="78"/>
      <c r="AY248" s="52">
        <f t="shared" si="1046"/>
        <v>0</v>
      </c>
      <c r="AZ248" s="52"/>
      <c r="BA248" s="52"/>
      <c r="BB248" s="52"/>
      <c r="BC248" s="52"/>
      <c r="BD248" s="52"/>
      <c r="BE248" s="22">
        <f t="shared" si="1047"/>
        <v>0</v>
      </c>
      <c r="BF248" s="52"/>
      <c r="BG248" s="52"/>
      <c r="BH248" s="22">
        <f t="shared" si="1048"/>
        <v>0</v>
      </c>
      <c r="BI248" s="22"/>
      <c r="BJ248" s="40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48"/>
      <c r="CF248" s="48"/>
      <c r="CG248" s="48"/>
      <c r="CH248" s="48"/>
      <c r="CI248" s="48"/>
      <c r="CJ248" s="48"/>
      <c r="CK248" s="48"/>
      <c r="CL248" s="48"/>
      <c r="CM248" s="48"/>
      <c r="CN248" s="48"/>
      <c r="CO248" s="48"/>
      <c r="CP248" s="48"/>
      <c r="CQ248" s="48"/>
      <c r="CR248" s="48"/>
      <c r="CS248" s="48"/>
      <c r="CT248" s="48"/>
      <c r="CU248" s="48"/>
      <c r="CV248" s="48"/>
      <c r="CW248" s="19"/>
      <c r="CX248" s="19"/>
      <c r="CY248" s="19"/>
      <c r="CZ248" s="19"/>
      <c r="DA248" s="21"/>
      <c r="DB248" s="21"/>
      <c r="DC248" s="79"/>
      <c r="DD248" s="79"/>
      <c r="DE248" s="79"/>
      <c r="DF248" s="79"/>
      <c r="DG248" s="79"/>
      <c r="DH248" s="51"/>
      <c r="DI248" s="39"/>
      <c r="DJ248" s="80"/>
      <c r="DK248" s="39"/>
      <c r="DL248" s="39"/>
      <c r="DM248" s="48"/>
      <c r="DN248" s="39"/>
      <c r="DO248" s="39"/>
      <c r="DP248" s="39"/>
      <c r="DQ248" s="39"/>
      <c r="DR248" s="39"/>
      <c r="DS248" s="39"/>
      <c r="DT248" s="39"/>
      <c r="DU248" s="19">
        <f t="shared" si="1051"/>
        <v>0</v>
      </c>
      <c r="DV248" s="40">
        <f t="shared" si="1052"/>
        <v>0</v>
      </c>
      <c r="DW248" s="40">
        <f t="shared" si="1053"/>
        <v>0</v>
      </c>
      <c r="DX248" s="46"/>
      <c r="DY248" s="21">
        <f t="shared" si="1032"/>
        <v>0</v>
      </c>
      <c r="DZ248" s="19">
        <f t="shared" si="1054"/>
        <v>0</v>
      </c>
      <c r="EA248" s="19">
        <f t="shared" si="1055"/>
        <v>0</v>
      </c>
      <c r="EB248" s="19"/>
      <c r="EC248" s="48">
        <f t="shared" ref="EC248:EC254" si="1059">+(BC248-BF248/1.18)*AZ248/2</f>
        <v>0</v>
      </c>
      <c r="ED248" s="48">
        <f t="shared" ref="ED248:ED254" si="1060">+(BD248-BG248/1.18)*AZ248/2</f>
        <v>0</v>
      </c>
      <c r="EE248" s="52"/>
      <c r="EF248" s="52"/>
      <c r="EG248" s="22">
        <f t="shared" si="1033"/>
        <v>0</v>
      </c>
      <c r="EH248" s="52"/>
      <c r="EI248" s="52"/>
      <c r="EJ248" s="22">
        <f t="shared" si="1034"/>
        <v>0</v>
      </c>
      <c r="EK248" s="40"/>
      <c r="EL248" s="19"/>
      <c r="EM248" s="19"/>
      <c r="EN248" s="40">
        <f t="shared" si="1035"/>
        <v>0</v>
      </c>
      <c r="EO248" s="40">
        <f t="shared" si="1024"/>
        <v>0</v>
      </c>
      <c r="EP248" s="40"/>
      <c r="EQ248" s="21">
        <f t="shared" si="1022"/>
        <v>0</v>
      </c>
      <c r="ER248" s="21"/>
      <c r="ES248" s="21">
        <f t="shared" ref="ES248:ES254" si="1061">+EL248*EE248</f>
        <v>0</v>
      </c>
      <c r="ET248" s="21"/>
      <c r="EU248" s="19">
        <f t="shared" si="1027"/>
        <v>0</v>
      </c>
      <c r="EV248" s="21"/>
      <c r="EW248" s="39"/>
      <c r="EX248" s="39">
        <f t="shared" si="1057"/>
        <v>0</v>
      </c>
      <c r="EY248" s="39">
        <f t="shared" si="951"/>
        <v>0</v>
      </c>
      <c r="EZ248" s="39"/>
      <c r="FA248" s="39"/>
      <c r="FB248" s="39"/>
      <c r="FC248" s="39"/>
      <c r="FD248" s="39"/>
      <c r="FE248" s="39"/>
      <c r="FF248" s="39"/>
      <c r="FG248" s="39"/>
      <c r="FH248" s="39"/>
      <c r="FI248" s="39"/>
      <c r="FJ248" s="19">
        <f t="shared" si="1036"/>
        <v>0</v>
      </c>
      <c r="FK248" s="19">
        <f t="shared" si="1037"/>
        <v>0</v>
      </c>
      <c r="FL248" s="19">
        <f t="shared" si="1025"/>
        <v>0</v>
      </c>
      <c r="FM248" s="19"/>
      <c r="FN248" s="19"/>
      <c r="FO248" s="52"/>
      <c r="FP248" s="52"/>
      <c r="FQ248" s="22"/>
      <c r="FR248" s="52"/>
      <c r="FS248" s="52"/>
      <c r="FT248" s="22"/>
      <c r="FU248" s="40"/>
      <c r="FV248" s="19"/>
      <c r="FW248" s="19"/>
      <c r="FX248" s="19"/>
      <c r="FY248" s="19"/>
      <c r="FZ248" s="19"/>
      <c r="GA248" s="19"/>
      <c r="GB248" s="19"/>
      <c r="GC248" s="20"/>
      <c r="GD248" s="20"/>
      <c r="GE248" s="21"/>
      <c r="GF248" s="21"/>
      <c r="GG248" s="21"/>
      <c r="GH248" s="21"/>
      <c r="GI248" s="21"/>
      <c r="GJ248" s="21"/>
      <c r="GK248" s="21"/>
      <c r="GL248" s="21"/>
      <c r="GM248" s="19"/>
      <c r="GN248" s="19"/>
      <c r="GO248" s="52"/>
      <c r="GP248" s="52"/>
      <c r="GQ248" s="22"/>
      <c r="GR248" s="52"/>
      <c r="GS248" s="52"/>
      <c r="GT248" s="22"/>
      <c r="GU248" s="43"/>
      <c r="GV248" s="19"/>
      <c r="GW248" s="19"/>
      <c r="GX248" s="19"/>
      <c r="GY248" s="19"/>
      <c r="GZ248" s="19"/>
      <c r="HA248" s="52"/>
      <c r="HB248" s="52"/>
      <c r="HC248" s="22"/>
      <c r="HD248" s="52"/>
      <c r="HE248" s="52"/>
      <c r="HF248" s="22"/>
      <c r="HG248" s="233"/>
    </row>
    <row r="249" spans="2:215" s="8" customFormat="1" ht="15.75">
      <c r="B249" s="10"/>
      <c r="C249" s="161" t="s">
        <v>204</v>
      </c>
      <c r="D249" s="73"/>
      <c r="E249" s="73"/>
      <c r="F249" s="73"/>
      <c r="G249" s="73"/>
      <c r="H249" s="73"/>
      <c r="I249" s="73"/>
      <c r="J249" s="74"/>
      <c r="K249" s="74"/>
      <c r="L249" s="74"/>
      <c r="M249" s="73"/>
      <c r="N249" s="73"/>
      <c r="O249" s="73"/>
      <c r="P249" s="73"/>
      <c r="Q249" s="73"/>
      <c r="R249" s="73"/>
      <c r="S249" s="73"/>
      <c r="T249" s="73"/>
      <c r="U249" s="73"/>
      <c r="V249" s="52"/>
      <c r="W249" s="52"/>
      <c r="X249" s="52"/>
      <c r="Y249" s="52"/>
      <c r="Z249" s="22"/>
      <c r="AA249" s="52"/>
      <c r="AB249" s="22"/>
      <c r="AC249" s="52"/>
      <c r="AD249" s="52">
        <v>2523.4</v>
      </c>
      <c r="AE249" s="22">
        <f>+IF(AC249=0,,AF249/AC249*100)</f>
        <v>0</v>
      </c>
      <c r="AF249" s="22">
        <v>2523.4</v>
      </c>
      <c r="AG249" s="22">
        <f t="shared" si="1029"/>
        <v>100</v>
      </c>
      <c r="AH249" s="52"/>
      <c r="AI249" s="52"/>
      <c r="AJ249" s="52"/>
      <c r="AK249" s="52"/>
      <c r="AL249" s="22"/>
      <c r="AM249" s="52"/>
      <c r="AN249" s="22"/>
      <c r="AO249" s="22"/>
      <c r="AP249" s="22"/>
      <c r="AQ249" s="52"/>
      <c r="AR249" s="22">
        <v>2122.83</v>
      </c>
      <c r="AS249" s="22">
        <f>+IF(AQ249=0,,AT249/AQ249*100)</f>
        <v>0</v>
      </c>
      <c r="AT249" s="22">
        <v>2371.1999999999998</v>
      </c>
      <c r="AU249" s="22">
        <f t="shared" si="1030"/>
        <v>111.69994771130989</v>
      </c>
      <c r="AV249" s="77"/>
      <c r="AW249" s="77"/>
      <c r="AX249" s="78" t="s">
        <v>139</v>
      </c>
      <c r="AY249" s="22">
        <f t="shared" si="1046"/>
        <v>2.2467804879999997</v>
      </c>
      <c r="AZ249" s="22">
        <f>+[8]БПр!$BW$428/1000</f>
        <v>1.9582171999999998</v>
      </c>
      <c r="BA249" s="22">
        <f>+[8]БПр!$BX$428/1000</f>
        <v>0.262833288</v>
      </c>
      <c r="BB249" s="22">
        <f>+[8]БПр!$BY$428/1000</f>
        <v>2.5729999999999999E-2</v>
      </c>
      <c r="BC249" s="22">
        <v>2523.4</v>
      </c>
      <c r="BD249" s="52">
        <v>2629.38</v>
      </c>
      <c r="BE249" s="22">
        <f t="shared" si="1047"/>
        <v>104.19988903859871</v>
      </c>
      <c r="BF249" s="22">
        <v>2371.1999999999998</v>
      </c>
      <c r="BG249" s="52">
        <v>2470.79</v>
      </c>
      <c r="BH249" s="22">
        <f t="shared" si="1048"/>
        <v>104.1999831309042</v>
      </c>
      <c r="BI249" s="22">
        <f>+BD249-BG249/1.18</f>
        <v>535.49016949152565</v>
      </c>
      <c r="BJ249" s="40" t="s">
        <v>140</v>
      </c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48"/>
      <c r="CF249" s="48"/>
      <c r="CG249" s="48"/>
      <c r="CH249" s="48"/>
      <c r="CI249" s="48"/>
      <c r="CJ249" s="48"/>
      <c r="CK249" s="48"/>
      <c r="CL249" s="48"/>
      <c r="CM249" s="48"/>
      <c r="CN249" s="48"/>
      <c r="CO249" s="48"/>
      <c r="CP249" s="48"/>
      <c r="CQ249" s="48"/>
      <c r="CR249" s="48"/>
      <c r="CS249" s="48"/>
      <c r="CT249" s="48"/>
      <c r="CU249" s="48"/>
      <c r="CV249" s="48"/>
      <c r="CW249" s="19"/>
      <c r="CX249" s="19"/>
      <c r="CY249" s="19"/>
      <c r="CZ249" s="19"/>
      <c r="DA249" s="21"/>
      <c r="DB249" s="21"/>
      <c r="DC249" s="79"/>
      <c r="DD249" s="79"/>
      <c r="DE249" s="79"/>
      <c r="DF249" s="79"/>
      <c r="DG249" s="79"/>
      <c r="DH249" s="51"/>
      <c r="DI249" s="39"/>
      <c r="DJ249" s="80"/>
      <c r="DK249" s="39"/>
      <c r="DL249" s="39"/>
      <c r="DM249" s="48"/>
      <c r="DN249" s="39"/>
      <c r="DO249" s="39"/>
      <c r="DP249" s="39"/>
      <c r="DQ249" s="39"/>
      <c r="DR249" s="39"/>
      <c r="DS249" s="39"/>
      <c r="DT249" s="39"/>
      <c r="DU249" s="19">
        <f t="shared" si="1051"/>
        <v>3935.0208683389828</v>
      </c>
      <c r="DV249" s="40">
        <f t="shared" si="1052"/>
        <v>4100.2910810067788</v>
      </c>
      <c r="DW249" s="40">
        <f t="shared" si="1053"/>
        <v>5148.8971413359995</v>
      </c>
      <c r="DX249" s="21">
        <f>+'[1]тарифы (НВВ) население на 4,2%'!CO308</f>
        <v>39.952662748620781</v>
      </c>
      <c r="DY249" s="21">
        <f t="shared" si="1032"/>
        <v>79.634356027218374</v>
      </c>
      <c r="DZ249" s="19">
        <f t="shared" si="1054"/>
        <v>5.6695258834192002</v>
      </c>
      <c r="EA249" s="19">
        <f t="shared" si="1055"/>
        <v>5.9076396795374393</v>
      </c>
      <c r="EB249" s="48">
        <v>1859.47</v>
      </c>
      <c r="EC249" s="48">
        <f>+(BC249-BF249/1.18)*AZ249</f>
        <v>1006.3444141410172</v>
      </c>
      <c r="ED249" s="48">
        <f>+(BD249-BG249/1.18)*AZ249</f>
        <v>1048.6060603292206</v>
      </c>
      <c r="EE249" s="22">
        <v>2629.38</v>
      </c>
      <c r="EF249" s="52">
        <v>2813.43</v>
      </c>
      <c r="EG249" s="22">
        <f t="shared" si="1033"/>
        <v>106.99974899025624</v>
      </c>
      <c r="EH249" s="22">
        <v>2470.79</v>
      </c>
      <c r="EI249" s="52">
        <v>2470.79</v>
      </c>
      <c r="EJ249" s="22">
        <f t="shared" si="1034"/>
        <v>100</v>
      </c>
      <c r="EK249" s="40" t="s">
        <v>141</v>
      </c>
      <c r="EL249" s="19">
        <v>2.4584600000000001</v>
      </c>
      <c r="EM249" s="19">
        <v>0.23626</v>
      </c>
      <c r="EN249" s="40">
        <f t="shared" si="1035"/>
        <v>494.70241135593216</v>
      </c>
      <c r="EO249" s="40">
        <f t="shared" si="1024"/>
        <v>664.70097179999993</v>
      </c>
      <c r="EP249" s="40"/>
      <c r="EQ249" s="21">
        <f t="shared" si="1022"/>
        <v>74.424806393209522</v>
      </c>
      <c r="ER249" s="21"/>
      <c r="ES249" s="21">
        <f t="shared" si="1061"/>
        <v>6464.2255548000003</v>
      </c>
      <c r="ET249" s="21"/>
      <c r="EU249" s="19">
        <f t="shared" si="1027"/>
        <v>6916.7051178000002</v>
      </c>
      <c r="EV249" s="21"/>
      <c r="EW249" s="39"/>
      <c r="EX249" s="39">
        <f t="shared" si="1057"/>
        <v>5907.6396795374394</v>
      </c>
      <c r="EY249" s="39">
        <f t="shared" si="951"/>
        <v>6321.1596283538393</v>
      </c>
      <c r="EZ249" s="39"/>
      <c r="FA249" s="39"/>
      <c r="FB249" s="39"/>
      <c r="FC249" s="39"/>
      <c r="FD249" s="39"/>
      <c r="FE249" s="39"/>
      <c r="FF249" s="39"/>
      <c r="FG249" s="39"/>
      <c r="FH249" s="39"/>
      <c r="FI249" s="39"/>
      <c r="FJ249" s="19">
        <f t="shared" si="1036"/>
        <v>126.51490744406784</v>
      </c>
      <c r="FK249" s="19">
        <f t="shared" si="1037"/>
        <v>169.99856044406778</v>
      </c>
      <c r="FL249" s="19">
        <f t="shared" si="1025"/>
        <v>296.51346788813561</v>
      </c>
      <c r="FM249" s="19">
        <v>2.5289999999999999</v>
      </c>
      <c r="FN249" s="19">
        <v>0.247</v>
      </c>
      <c r="FO249" s="52">
        <v>3013.12</v>
      </c>
      <c r="FP249" s="52">
        <v>3083.47</v>
      </c>
      <c r="FQ249" s="22"/>
      <c r="FR249" s="52">
        <v>2665.57</v>
      </c>
      <c r="FS249" s="22">
        <v>2665.57</v>
      </c>
      <c r="FT249" s="22"/>
      <c r="FU249" s="40" t="s">
        <v>624</v>
      </c>
      <c r="FV249" s="19"/>
      <c r="FW249" s="19"/>
      <c r="FX249" s="19"/>
      <c r="FY249" s="19"/>
      <c r="FZ249" s="19"/>
      <c r="GA249" s="19"/>
      <c r="GB249" s="19"/>
      <c r="GC249" s="20"/>
      <c r="GD249" s="20"/>
      <c r="GE249" s="21"/>
      <c r="GF249" s="21"/>
      <c r="GG249" s="21"/>
      <c r="GH249" s="21"/>
      <c r="GI249" s="21"/>
      <c r="GJ249" s="21"/>
      <c r="GK249" s="21"/>
      <c r="GL249" s="21"/>
      <c r="GM249" s="19"/>
      <c r="GN249" s="19"/>
      <c r="GO249" s="22">
        <v>3083.47</v>
      </c>
      <c r="GP249" s="22">
        <v>3217.34</v>
      </c>
      <c r="GQ249" s="22"/>
      <c r="GR249" s="52">
        <v>2665.57</v>
      </c>
      <c r="GS249" s="52">
        <v>2766.86</v>
      </c>
      <c r="GT249" s="22"/>
      <c r="GU249" s="40" t="s">
        <v>624</v>
      </c>
      <c r="GV249" s="19"/>
      <c r="GW249" s="19"/>
      <c r="GX249" s="19"/>
      <c r="GY249" s="19"/>
      <c r="GZ249" s="23"/>
      <c r="HA249" s="22">
        <v>3217.34</v>
      </c>
      <c r="HB249" s="22">
        <v>3305.42</v>
      </c>
      <c r="HC249" s="22"/>
      <c r="HD249" s="52">
        <v>2766.86</v>
      </c>
      <c r="HE249" s="22">
        <v>2877.54</v>
      </c>
      <c r="HF249" s="22"/>
      <c r="HG249" s="236" t="s">
        <v>624</v>
      </c>
    </row>
    <row r="250" spans="2:215" s="8" customFormat="1" ht="15.75">
      <c r="B250" s="10" t="s">
        <v>388</v>
      </c>
      <c r="C250" s="81" t="s">
        <v>389</v>
      </c>
      <c r="D250" s="73"/>
      <c r="E250" s="73"/>
      <c r="F250" s="73"/>
      <c r="G250" s="73"/>
      <c r="H250" s="73"/>
      <c r="I250" s="73"/>
      <c r="J250" s="74"/>
      <c r="K250" s="74"/>
      <c r="L250" s="74"/>
      <c r="M250" s="73"/>
      <c r="N250" s="73"/>
      <c r="O250" s="73"/>
      <c r="P250" s="73"/>
      <c r="Q250" s="73"/>
      <c r="R250" s="73"/>
      <c r="S250" s="73"/>
      <c r="T250" s="73"/>
      <c r="U250" s="73"/>
      <c r="V250" s="52"/>
      <c r="W250" s="52"/>
      <c r="X250" s="52"/>
      <c r="Y250" s="52"/>
      <c r="Z250" s="22"/>
      <c r="AA250" s="52"/>
      <c r="AB250" s="22"/>
      <c r="AC250" s="52"/>
      <c r="AD250" s="52"/>
      <c r="AE250" s="22"/>
      <c r="AF250" s="22"/>
      <c r="AG250" s="22">
        <f t="shared" si="1029"/>
        <v>0</v>
      </c>
      <c r="AH250" s="52"/>
      <c r="AI250" s="52"/>
      <c r="AJ250" s="52"/>
      <c r="AK250" s="52"/>
      <c r="AL250" s="22"/>
      <c r="AM250" s="52"/>
      <c r="AN250" s="22"/>
      <c r="AO250" s="22"/>
      <c r="AP250" s="22"/>
      <c r="AQ250" s="52"/>
      <c r="AR250" s="52"/>
      <c r="AS250" s="22"/>
      <c r="AT250" s="22"/>
      <c r="AU250" s="22">
        <f t="shared" si="1030"/>
        <v>0</v>
      </c>
      <c r="AV250" s="77"/>
      <c r="AW250" s="77"/>
      <c r="AX250" s="78"/>
      <c r="AY250" s="52">
        <f t="shared" si="1046"/>
        <v>0</v>
      </c>
      <c r="AZ250" s="52"/>
      <c r="BA250" s="52"/>
      <c r="BB250" s="52"/>
      <c r="BC250" s="52"/>
      <c r="BD250" s="52"/>
      <c r="BE250" s="22">
        <f t="shared" si="1047"/>
        <v>0</v>
      </c>
      <c r="BF250" s="52"/>
      <c r="BG250" s="52"/>
      <c r="BH250" s="22">
        <f t="shared" si="1048"/>
        <v>0</v>
      </c>
      <c r="BI250" s="22"/>
      <c r="BJ250" s="40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48"/>
      <c r="CF250" s="48"/>
      <c r="CG250" s="48"/>
      <c r="CH250" s="48"/>
      <c r="CI250" s="48"/>
      <c r="CJ250" s="48"/>
      <c r="CK250" s="48"/>
      <c r="CL250" s="48"/>
      <c r="CM250" s="48"/>
      <c r="CN250" s="48"/>
      <c r="CO250" s="48"/>
      <c r="CP250" s="48"/>
      <c r="CQ250" s="48"/>
      <c r="CR250" s="48"/>
      <c r="CS250" s="48"/>
      <c r="CT250" s="48"/>
      <c r="CU250" s="48"/>
      <c r="CV250" s="48"/>
      <c r="CW250" s="19"/>
      <c r="CX250" s="19"/>
      <c r="CY250" s="19"/>
      <c r="CZ250" s="19"/>
      <c r="DA250" s="21"/>
      <c r="DB250" s="21"/>
      <c r="DC250" s="79"/>
      <c r="DD250" s="79"/>
      <c r="DE250" s="79"/>
      <c r="DF250" s="79"/>
      <c r="DG250" s="79"/>
      <c r="DH250" s="51"/>
      <c r="DI250" s="39"/>
      <c r="DJ250" s="80"/>
      <c r="DK250" s="39"/>
      <c r="DL250" s="39"/>
      <c r="DM250" s="48"/>
      <c r="DN250" s="39"/>
      <c r="DO250" s="39"/>
      <c r="DP250" s="39"/>
      <c r="DQ250" s="39"/>
      <c r="DR250" s="39"/>
      <c r="DS250" s="39"/>
      <c r="DT250" s="39"/>
      <c r="DU250" s="19">
        <f t="shared" si="1051"/>
        <v>0</v>
      </c>
      <c r="DV250" s="40">
        <f t="shared" si="1052"/>
        <v>0</v>
      </c>
      <c r="DW250" s="40">
        <f t="shared" si="1053"/>
        <v>0</v>
      </c>
      <c r="DX250" s="46"/>
      <c r="DY250" s="21">
        <f t="shared" si="1032"/>
        <v>0</v>
      </c>
      <c r="DZ250" s="19">
        <f t="shared" si="1054"/>
        <v>0</v>
      </c>
      <c r="EA250" s="19">
        <f t="shared" si="1055"/>
        <v>0</v>
      </c>
      <c r="EB250" s="19"/>
      <c r="EC250" s="48">
        <f t="shared" si="1059"/>
        <v>0</v>
      </c>
      <c r="ED250" s="48">
        <f t="shared" si="1060"/>
        <v>0</v>
      </c>
      <c r="EE250" s="52"/>
      <c r="EF250" s="52"/>
      <c r="EG250" s="22">
        <f t="shared" si="1033"/>
        <v>0</v>
      </c>
      <c r="EH250" s="52"/>
      <c r="EI250" s="52"/>
      <c r="EJ250" s="22">
        <f t="shared" si="1034"/>
        <v>0</v>
      </c>
      <c r="EK250" s="40"/>
      <c r="EL250" s="19"/>
      <c r="EM250" s="19"/>
      <c r="EN250" s="40">
        <f t="shared" si="1035"/>
        <v>0</v>
      </c>
      <c r="EO250" s="40">
        <f t="shared" si="1024"/>
        <v>0</v>
      </c>
      <c r="EP250" s="40"/>
      <c r="EQ250" s="21">
        <f t="shared" si="1022"/>
        <v>0</v>
      </c>
      <c r="ER250" s="21"/>
      <c r="ES250" s="21">
        <f t="shared" si="1061"/>
        <v>0</v>
      </c>
      <c r="ET250" s="21"/>
      <c r="EU250" s="19">
        <f t="shared" si="1027"/>
        <v>0</v>
      </c>
      <c r="EV250" s="21"/>
      <c r="EW250" s="39"/>
      <c r="EX250" s="39">
        <f t="shared" si="1057"/>
        <v>0</v>
      </c>
      <c r="EY250" s="39">
        <f t="shared" si="951"/>
        <v>0</v>
      </c>
      <c r="EZ250" s="39"/>
      <c r="FA250" s="39"/>
      <c r="FB250" s="39"/>
      <c r="FC250" s="39"/>
      <c r="FD250" s="39"/>
      <c r="FE250" s="39"/>
      <c r="FF250" s="39"/>
      <c r="FG250" s="39"/>
      <c r="FH250" s="39"/>
      <c r="FI250" s="39"/>
      <c r="FJ250" s="19">
        <f t="shared" si="1036"/>
        <v>0</v>
      </c>
      <c r="FK250" s="19">
        <f t="shared" si="1037"/>
        <v>0</v>
      </c>
      <c r="FL250" s="19">
        <f t="shared" si="1025"/>
        <v>0</v>
      </c>
      <c r="FM250" s="19"/>
      <c r="FN250" s="19"/>
      <c r="FO250" s="52"/>
      <c r="FP250" s="52"/>
      <c r="FQ250" s="22"/>
      <c r="FR250" s="52"/>
      <c r="FS250" s="52"/>
      <c r="FT250" s="22"/>
      <c r="FU250" s="40"/>
      <c r="FV250" s="19"/>
      <c r="FW250" s="19"/>
      <c r="FX250" s="19"/>
      <c r="FY250" s="19"/>
      <c r="FZ250" s="19"/>
      <c r="GA250" s="19"/>
      <c r="GB250" s="19"/>
      <c r="GC250" s="20"/>
      <c r="GD250" s="20"/>
      <c r="GE250" s="21"/>
      <c r="GF250" s="21"/>
      <c r="GG250" s="21"/>
      <c r="GH250" s="21"/>
      <c r="GI250" s="21"/>
      <c r="GJ250" s="21"/>
      <c r="GK250" s="21"/>
      <c r="GL250" s="21"/>
      <c r="GM250" s="19"/>
      <c r="GN250" s="19"/>
      <c r="GO250" s="52"/>
      <c r="GP250" s="52"/>
      <c r="GQ250" s="22"/>
      <c r="GR250" s="52"/>
      <c r="GS250" s="52"/>
      <c r="GT250" s="22"/>
      <c r="GU250" s="43"/>
      <c r="GV250" s="19"/>
      <c r="GW250" s="19"/>
      <c r="GX250" s="19"/>
      <c r="GY250" s="19"/>
      <c r="GZ250" s="23"/>
      <c r="HA250" s="52"/>
      <c r="HB250" s="52"/>
      <c r="HC250" s="22"/>
      <c r="HD250" s="52"/>
      <c r="HE250" s="52"/>
      <c r="HF250" s="22"/>
      <c r="HG250" s="233"/>
    </row>
    <row r="251" spans="2:215" s="8" customFormat="1" ht="15.75">
      <c r="B251" s="10"/>
      <c r="C251" s="184" t="s">
        <v>205</v>
      </c>
      <c r="D251" s="73"/>
      <c r="E251" s="73"/>
      <c r="F251" s="73"/>
      <c r="G251" s="73"/>
      <c r="H251" s="73"/>
      <c r="I251" s="73"/>
      <c r="J251" s="74"/>
      <c r="K251" s="74"/>
      <c r="L251" s="74"/>
      <c r="M251" s="73"/>
      <c r="N251" s="73"/>
      <c r="O251" s="73"/>
      <c r="P251" s="73"/>
      <c r="Q251" s="73"/>
      <c r="R251" s="73"/>
      <c r="S251" s="73"/>
      <c r="T251" s="73"/>
      <c r="U251" s="73"/>
      <c r="V251" s="52"/>
      <c r="W251" s="52"/>
      <c r="X251" s="52"/>
      <c r="Y251" s="52"/>
      <c r="Z251" s="22"/>
      <c r="AA251" s="52"/>
      <c r="AB251" s="22"/>
      <c r="AC251" s="52"/>
      <c r="AD251" s="22">
        <v>84.82</v>
      </c>
      <c r="AE251" s="22">
        <f>+IF(AC251=0,,AF251/AC251*100)</f>
        <v>0</v>
      </c>
      <c r="AF251" s="22">
        <v>84.82</v>
      </c>
      <c r="AG251" s="22">
        <f t="shared" si="1029"/>
        <v>100</v>
      </c>
      <c r="AH251" s="52"/>
      <c r="AI251" s="52"/>
      <c r="AJ251" s="52"/>
      <c r="AK251" s="52"/>
      <c r="AL251" s="22"/>
      <c r="AM251" s="52"/>
      <c r="AN251" s="22"/>
      <c r="AO251" s="22"/>
      <c r="AP251" s="22"/>
      <c r="AQ251" s="52"/>
      <c r="AR251" s="22">
        <v>47.09</v>
      </c>
      <c r="AS251" s="22">
        <f t="shared" ref="AS251:AS257" si="1062">+IF(AQ251=0,,AT251/AQ251*100)</f>
        <v>0</v>
      </c>
      <c r="AT251" s="22">
        <v>52.12</v>
      </c>
      <c r="AU251" s="22">
        <f t="shared" si="1030"/>
        <v>110.6816733913782</v>
      </c>
      <c r="AV251" s="77"/>
      <c r="AW251" s="77"/>
      <c r="AX251" s="239" t="s">
        <v>390</v>
      </c>
      <c r="AY251" s="22">
        <f t="shared" si="1046"/>
        <v>57.618071999999984</v>
      </c>
      <c r="AZ251" s="22">
        <f>+[3]БПр!$AC$1064/1000</f>
        <v>48.112079999999985</v>
      </c>
      <c r="BA251" s="22">
        <f>+[3]БПр!$AB$1064/1000</f>
        <v>4.582236</v>
      </c>
      <c r="BB251" s="22">
        <f>+[3]БПр!$AD$1066/1000</f>
        <v>4.923756</v>
      </c>
      <c r="BC251" s="52">
        <v>84.82</v>
      </c>
      <c r="BD251" s="52">
        <v>84.82</v>
      </c>
      <c r="BE251" s="22">
        <f t="shared" si="1047"/>
        <v>100</v>
      </c>
      <c r="BF251" s="52">
        <v>52.12</v>
      </c>
      <c r="BG251" s="52">
        <v>54.3</v>
      </c>
      <c r="BH251" s="22">
        <f t="shared" si="1048"/>
        <v>104.18265541059095</v>
      </c>
      <c r="BI251" s="22"/>
      <c r="BJ251" s="241" t="s">
        <v>391</v>
      </c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48"/>
      <c r="CF251" s="48"/>
      <c r="CG251" s="48"/>
      <c r="CH251" s="48"/>
      <c r="CI251" s="48"/>
      <c r="CJ251" s="48"/>
      <c r="CK251" s="48"/>
      <c r="CL251" s="48"/>
      <c r="CM251" s="48"/>
      <c r="CN251" s="48"/>
      <c r="CO251" s="48"/>
      <c r="CP251" s="48"/>
      <c r="CQ251" s="48"/>
      <c r="CR251" s="48"/>
      <c r="CS251" s="48"/>
      <c r="CT251" s="48"/>
      <c r="CU251" s="48"/>
      <c r="CV251" s="48"/>
      <c r="CW251" s="19"/>
      <c r="CX251" s="19"/>
      <c r="CY251" s="19"/>
      <c r="CZ251" s="19"/>
      <c r="DA251" s="21"/>
      <c r="DB251" s="21"/>
      <c r="DC251" s="79"/>
      <c r="DD251" s="79"/>
      <c r="DE251" s="79"/>
      <c r="DF251" s="79"/>
      <c r="DG251" s="79"/>
      <c r="DH251" s="51"/>
      <c r="DI251" s="39"/>
      <c r="DJ251" s="80"/>
      <c r="DK251" s="39"/>
      <c r="DL251" s="39"/>
      <c r="DM251" s="48"/>
      <c r="DN251" s="39"/>
      <c r="DO251" s="39"/>
      <c r="DP251" s="39"/>
      <c r="DQ251" s="39"/>
      <c r="DR251" s="39"/>
      <c r="DS251" s="39"/>
      <c r="DT251" s="39"/>
      <c r="DU251" s="19">
        <f t="shared" si="1051"/>
        <v>2125.0861098305077</v>
      </c>
      <c r="DV251" s="40">
        <f t="shared" si="1052"/>
        <v>2213.9711389830504</v>
      </c>
      <c r="DW251" s="40">
        <f t="shared" si="1053"/>
        <v>4080.8666255999983</v>
      </c>
      <c r="DX251" s="21">
        <f>+'[1]тарифы (НВВ) население на 4,2%'!CO309</f>
        <v>51.496812621082292</v>
      </c>
      <c r="DY251" s="21">
        <f t="shared" si="1032"/>
        <v>54.252474832047135</v>
      </c>
      <c r="DZ251" s="19">
        <f t="shared" si="1054"/>
        <v>4.8871648670399983</v>
      </c>
      <c r="EA251" s="19">
        <f t="shared" si="1055"/>
        <v>4.8871648670399983</v>
      </c>
      <c r="EB251" s="19"/>
      <c r="EC251" s="48">
        <f>+(BC251-BF251/1.18)*AZ251</f>
        <v>1955.7805157694904</v>
      </c>
      <c r="ED251" s="48">
        <f>+(BD251-BG251/1.18)*AZ251</f>
        <v>1866.8954866169481</v>
      </c>
      <c r="EE251" s="52">
        <v>84.82</v>
      </c>
      <c r="EF251" s="52">
        <v>84.82</v>
      </c>
      <c r="EG251" s="22">
        <f t="shared" si="1033"/>
        <v>100</v>
      </c>
      <c r="EH251" s="22">
        <v>54.3</v>
      </c>
      <c r="EI251" s="52">
        <v>58.88</v>
      </c>
      <c r="EJ251" s="22">
        <f t="shared" si="1034"/>
        <v>108.43462246777165</v>
      </c>
      <c r="EK251" s="241" t="s">
        <v>392</v>
      </c>
      <c r="EL251" s="19">
        <v>57.62</v>
      </c>
      <c r="EM251" s="19">
        <v>48.11</v>
      </c>
      <c r="EN251" s="40">
        <f t="shared" si="1035"/>
        <v>2400.6074576271189</v>
      </c>
      <c r="EO251" s="40">
        <f t="shared" si="1024"/>
        <v>4080.6901999999995</v>
      </c>
      <c r="EP251" s="40"/>
      <c r="EQ251" s="21">
        <f t="shared" si="1022"/>
        <v>58.828466263553139</v>
      </c>
      <c r="ER251" s="21"/>
      <c r="ES251" s="21">
        <f t="shared" si="1061"/>
        <v>4887.3283999999994</v>
      </c>
      <c r="ET251" s="21"/>
      <c r="EU251" s="19">
        <f t="shared" si="1027"/>
        <v>4887.3283999999994</v>
      </c>
      <c r="EV251" s="21"/>
      <c r="EW251" s="39"/>
      <c r="EX251" s="39">
        <f t="shared" si="1057"/>
        <v>4887.1648670399982</v>
      </c>
      <c r="EY251" s="39">
        <f t="shared" si="951"/>
        <v>4887.1648670399982</v>
      </c>
      <c r="EZ251" s="39"/>
      <c r="FA251" s="39"/>
      <c r="FB251" s="39"/>
      <c r="FC251" s="39"/>
      <c r="FD251" s="39"/>
      <c r="FE251" s="166"/>
      <c r="FF251" s="166"/>
      <c r="FG251" s="39"/>
      <c r="FH251" s="39"/>
      <c r="FI251" s="39"/>
      <c r="FJ251" s="19">
        <f t="shared" si="1036"/>
        <v>1866.814776271186</v>
      </c>
      <c r="FK251" s="19">
        <f t="shared" si="1037"/>
        <v>1680.0827423728808</v>
      </c>
      <c r="FL251" s="19">
        <f t="shared" si="1025"/>
        <v>3546.8975186440666</v>
      </c>
      <c r="FM251" s="19">
        <v>57.618000000000002</v>
      </c>
      <c r="FN251" s="19">
        <v>48.112000000000002</v>
      </c>
      <c r="FO251" s="52">
        <v>99.97</v>
      </c>
      <c r="FP251" s="22">
        <v>101.08</v>
      </c>
      <c r="FQ251" s="22"/>
      <c r="FR251" s="52">
        <v>82.79</v>
      </c>
      <c r="FS251" s="22">
        <v>82.79</v>
      </c>
      <c r="FT251" s="22"/>
      <c r="FU251" s="241" t="s">
        <v>685</v>
      </c>
      <c r="FV251" s="19"/>
      <c r="FW251" s="19"/>
      <c r="FX251" s="19"/>
      <c r="FY251" s="19"/>
      <c r="FZ251" s="19"/>
      <c r="GA251" s="19"/>
      <c r="GB251" s="19"/>
      <c r="GC251" s="20"/>
      <c r="GD251" s="20"/>
      <c r="GE251" s="21"/>
      <c r="GF251" s="21"/>
      <c r="GG251" s="21"/>
      <c r="GH251" s="21"/>
      <c r="GI251" s="21"/>
      <c r="GJ251" s="21"/>
      <c r="GK251" s="21"/>
      <c r="GL251" s="21"/>
      <c r="GM251" s="19"/>
      <c r="GN251" s="19"/>
      <c r="GO251" s="52">
        <v>104.3</v>
      </c>
      <c r="GP251" s="22">
        <v>104.3</v>
      </c>
      <c r="GQ251" s="22"/>
      <c r="GR251" s="52">
        <v>82.79</v>
      </c>
      <c r="GS251" s="52">
        <v>86.1</v>
      </c>
      <c r="GT251" s="22"/>
      <c r="GU251" s="241" t="s">
        <v>685</v>
      </c>
      <c r="GV251" s="19"/>
      <c r="GW251" s="19"/>
      <c r="GX251" s="19"/>
      <c r="GY251" s="19"/>
      <c r="GZ251" s="23"/>
      <c r="HA251" s="52">
        <v>107.25</v>
      </c>
      <c r="HB251" s="22">
        <v>107.25</v>
      </c>
      <c r="HC251" s="22"/>
      <c r="HD251" s="52">
        <v>86.1</v>
      </c>
      <c r="HE251" s="22">
        <v>89.54</v>
      </c>
      <c r="HF251" s="22"/>
      <c r="HG251" s="241" t="s">
        <v>685</v>
      </c>
    </row>
    <row r="252" spans="2:215" s="8" customFormat="1" ht="15.75">
      <c r="B252" s="10"/>
      <c r="C252" s="184" t="s">
        <v>134</v>
      </c>
      <c r="D252" s="73"/>
      <c r="E252" s="73"/>
      <c r="F252" s="73"/>
      <c r="G252" s="73"/>
      <c r="H252" s="73"/>
      <c r="I252" s="73"/>
      <c r="J252" s="74"/>
      <c r="K252" s="74"/>
      <c r="L252" s="74"/>
      <c r="M252" s="73"/>
      <c r="N252" s="73"/>
      <c r="O252" s="73"/>
      <c r="P252" s="73"/>
      <c r="Q252" s="73"/>
      <c r="R252" s="73"/>
      <c r="S252" s="73"/>
      <c r="T252" s="73"/>
      <c r="U252" s="73"/>
      <c r="V252" s="52"/>
      <c r="W252" s="52"/>
      <c r="X252" s="52"/>
      <c r="Y252" s="52"/>
      <c r="Z252" s="22"/>
      <c r="AA252" s="52"/>
      <c r="AB252" s="22"/>
      <c r="AC252" s="52"/>
      <c r="AD252" s="22">
        <v>62.35</v>
      </c>
      <c r="AE252" s="22">
        <f>+IF(AC252=0,,AF252/AC252*100)</f>
        <v>0</v>
      </c>
      <c r="AF252" s="22">
        <v>62.35</v>
      </c>
      <c r="AG252" s="22">
        <f t="shared" si="1029"/>
        <v>100</v>
      </c>
      <c r="AH252" s="52"/>
      <c r="AI252" s="52"/>
      <c r="AJ252" s="52"/>
      <c r="AK252" s="52"/>
      <c r="AL252" s="22"/>
      <c r="AM252" s="52"/>
      <c r="AN252" s="22"/>
      <c r="AO252" s="22"/>
      <c r="AP252" s="22"/>
      <c r="AQ252" s="52"/>
      <c r="AR252" s="22">
        <v>44.55</v>
      </c>
      <c r="AS252" s="22">
        <f t="shared" si="1062"/>
        <v>0</v>
      </c>
      <c r="AT252" s="22">
        <v>49.3</v>
      </c>
      <c r="AU252" s="22">
        <f t="shared" si="1030"/>
        <v>110.662177328844</v>
      </c>
      <c r="AV252" s="77"/>
      <c r="AW252" s="77"/>
      <c r="AX252" s="239"/>
      <c r="AY252" s="52">
        <f t="shared" si="1046"/>
        <v>3.7670000000000003</v>
      </c>
      <c r="AZ252" s="52">
        <f>+[4]БПр!$O$1062/1000</f>
        <v>2.532</v>
      </c>
      <c r="BA252" s="52">
        <f>+[4]БПр!$N$1062/1000</f>
        <v>1.2350000000000001</v>
      </c>
      <c r="BB252" s="52"/>
      <c r="BC252" s="52">
        <v>62.35</v>
      </c>
      <c r="BD252" s="52">
        <v>62.35</v>
      </c>
      <c r="BE252" s="22">
        <f t="shared" si="1047"/>
        <v>100</v>
      </c>
      <c r="BF252" s="22">
        <v>49.3</v>
      </c>
      <c r="BG252" s="52">
        <v>51.37</v>
      </c>
      <c r="BH252" s="22">
        <f t="shared" si="1048"/>
        <v>104.19878296146045</v>
      </c>
      <c r="BI252" s="22"/>
      <c r="BJ252" s="241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48"/>
      <c r="CF252" s="48"/>
      <c r="CG252" s="48"/>
      <c r="CH252" s="48"/>
      <c r="CI252" s="48"/>
      <c r="CJ252" s="48"/>
      <c r="CK252" s="48"/>
      <c r="CL252" s="48"/>
      <c r="CM252" s="48"/>
      <c r="CN252" s="48"/>
      <c r="CO252" s="48"/>
      <c r="CP252" s="48"/>
      <c r="CQ252" s="48"/>
      <c r="CR252" s="48"/>
      <c r="CS252" s="48"/>
      <c r="CT252" s="48"/>
      <c r="CU252" s="48"/>
      <c r="CV252" s="48"/>
      <c r="CW252" s="19"/>
      <c r="CX252" s="19"/>
      <c r="CY252" s="19"/>
      <c r="CZ252" s="19"/>
      <c r="DA252" s="21"/>
      <c r="DB252" s="21"/>
      <c r="DC252" s="79"/>
      <c r="DD252" s="79"/>
      <c r="DE252" s="79"/>
      <c r="DF252" s="79"/>
      <c r="DG252" s="79"/>
      <c r="DH252" s="51"/>
      <c r="DI252" s="39"/>
      <c r="DJ252" s="80"/>
      <c r="DK252" s="39"/>
      <c r="DL252" s="39"/>
      <c r="DM252" s="48"/>
      <c r="DN252" s="39"/>
      <c r="DO252" s="39"/>
      <c r="DP252" s="39"/>
      <c r="DQ252" s="39"/>
      <c r="DR252" s="39"/>
      <c r="DS252" s="39"/>
      <c r="DT252" s="39"/>
      <c r="DU252" s="19">
        <f t="shared" si="1051"/>
        <v>105.78610169491525</v>
      </c>
      <c r="DV252" s="40">
        <f t="shared" si="1052"/>
        <v>110.22783050847458</v>
      </c>
      <c r="DW252" s="40">
        <f t="shared" si="1053"/>
        <v>157.87020000000001</v>
      </c>
      <c r="DX252" s="21">
        <f>+'[1]тарифы (НВВ) население на 4,2%'!CO310</f>
        <v>76.319572317640123</v>
      </c>
      <c r="DY252" s="21">
        <f t="shared" si="1032"/>
        <v>69.821809631250602</v>
      </c>
      <c r="DZ252" s="19">
        <f t="shared" si="1054"/>
        <v>0.23487245000000001</v>
      </c>
      <c r="EA252" s="19">
        <f t="shared" si="1055"/>
        <v>0.23487245000000001</v>
      </c>
      <c r="EB252" s="19"/>
      <c r="EC252" s="48">
        <f>+(BC252-BF252/1.18)*AZ252</f>
        <v>52.084098305084744</v>
      </c>
      <c r="ED252" s="48">
        <f>+(BD252-BG252/1.18)*AZ252</f>
        <v>47.642369491525422</v>
      </c>
      <c r="EE252" s="52">
        <v>62.35</v>
      </c>
      <c r="EF252" s="52">
        <v>62.35</v>
      </c>
      <c r="EG252" s="22">
        <f t="shared" si="1033"/>
        <v>100</v>
      </c>
      <c r="EH252" s="22">
        <v>51.37</v>
      </c>
      <c r="EI252" s="52">
        <v>55.71</v>
      </c>
      <c r="EJ252" s="22">
        <f t="shared" si="1034"/>
        <v>108.4485108039712</v>
      </c>
      <c r="EK252" s="241"/>
      <c r="EL252" s="19">
        <v>3.7669999999999999</v>
      </c>
      <c r="EM252" s="19">
        <v>2.532</v>
      </c>
      <c r="EN252" s="40">
        <f t="shared" si="1035"/>
        <v>119.54044067796612</v>
      </c>
      <c r="EO252" s="40">
        <f t="shared" si="1024"/>
        <v>157.87020000000001</v>
      </c>
      <c r="EP252" s="40"/>
      <c r="EQ252" s="21">
        <f t="shared" si="1022"/>
        <v>75.720712761474999</v>
      </c>
      <c r="ER252" s="21"/>
      <c r="ES252" s="21">
        <f t="shared" si="1061"/>
        <v>234.87244999999999</v>
      </c>
      <c r="ET252" s="21"/>
      <c r="EU252" s="19">
        <f t="shared" si="1027"/>
        <v>234.87244999999999</v>
      </c>
      <c r="EV252" s="21"/>
      <c r="EW252" s="39"/>
      <c r="EX252" s="39">
        <f t="shared" si="1057"/>
        <v>234.87245000000001</v>
      </c>
      <c r="EY252" s="39">
        <f t="shared" si="951"/>
        <v>234.87245000000001</v>
      </c>
      <c r="EZ252" s="39"/>
      <c r="FA252" s="39"/>
      <c r="FB252" s="39"/>
      <c r="FC252" s="39"/>
      <c r="FD252" s="39"/>
      <c r="FE252" s="166"/>
      <c r="FF252" s="166"/>
      <c r="FG252" s="39"/>
      <c r="FH252" s="39"/>
      <c r="FI252" s="39"/>
      <c r="FJ252" s="19">
        <f t="shared" si="1036"/>
        <v>47.642369491525422</v>
      </c>
      <c r="FK252" s="19">
        <f t="shared" si="1037"/>
        <v>38.329759322033901</v>
      </c>
      <c r="FL252" s="19">
        <f t="shared" si="1025"/>
        <v>85.972128813559323</v>
      </c>
      <c r="FM252" s="19">
        <v>3.7669999999999999</v>
      </c>
      <c r="FN252" s="19">
        <v>2.532</v>
      </c>
      <c r="FO252" s="52">
        <v>78.92</v>
      </c>
      <c r="FP252" s="22">
        <v>79.97</v>
      </c>
      <c r="FQ252" s="22"/>
      <c r="FR252" s="52">
        <v>78.33</v>
      </c>
      <c r="FS252" s="22">
        <v>78.33</v>
      </c>
      <c r="FT252" s="22"/>
      <c r="FU252" s="241"/>
      <c r="FV252" s="19"/>
      <c r="FW252" s="19"/>
      <c r="FX252" s="19"/>
      <c r="FY252" s="19"/>
      <c r="FZ252" s="19"/>
      <c r="GA252" s="19"/>
      <c r="GB252" s="19"/>
      <c r="GC252" s="20"/>
      <c r="GD252" s="20"/>
      <c r="GE252" s="21"/>
      <c r="GF252" s="21"/>
      <c r="GG252" s="21"/>
      <c r="GH252" s="21"/>
      <c r="GI252" s="21"/>
      <c r="GJ252" s="21"/>
      <c r="GK252" s="21"/>
      <c r="GL252" s="21"/>
      <c r="GM252" s="19"/>
      <c r="GN252" s="19"/>
      <c r="GO252" s="52">
        <v>79.97</v>
      </c>
      <c r="GP252" s="22">
        <v>82.57</v>
      </c>
      <c r="GQ252" s="22"/>
      <c r="GR252" s="52">
        <v>78.33</v>
      </c>
      <c r="GS252" s="52">
        <v>81.459999999999994</v>
      </c>
      <c r="GT252" s="22"/>
      <c r="GU252" s="241"/>
      <c r="GV252" s="19"/>
      <c r="GW252" s="19"/>
      <c r="GX252" s="19"/>
      <c r="GY252" s="19"/>
      <c r="GZ252" s="23"/>
      <c r="HA252" s="22">
        <v>82.57</v>
      </c>
      <c r="HB252" s="22">
        <v>84.89</v>
      </c>
      <c r="HC252" s="22"/>
      <c r="HD252" s="52">
        <v>81.459999999999994</v>
      </c>
      <c r="HE252" s="22">
        <v>84.72</v>
      </c>
      <c r="HF252" s="22"/>
      <c r="HG252" s="241"/>
    </row>
    <row r="253" spans="2:215" ht="15.75">
      <c r="B253" s="10" t="s">
        <v>393</v>
      </c>
      <c r="C253" s="81" t="s">
        <v>607</v>
      </c>
      <c r="D253" s="46"/>
      <c r="E253" s="46"/>
      <c r="F253" s="46"/>
      <c r="G253" s="46"/>
      <c r="H253" s="46"/>
      <c r="I253" s="46"/>
      <c r="J253" s="46"/>
      <c r="K253" s="46"/>
      <c r="L253" s="46"/>
      <c r="M253" s="73">
        <f t="shared" ref="M253:M254" si="1063">+N253+R253</f>
        <v>0</v>
      </c>
      <c r="N253" s="73">
        <f>+E253</f>
        <v>0</v>
      </c>
      <c r="O253" s="46"/>
      <c r="P253" s="46"/>
      <c r="Q253" s="46"/>
      <c r="R253" s="73">
        <f>+I253</f>
        <v>0</v>
      </c>
      <c r="S253" s="46"/>
      <c r="T253" s="46"/>
      <c r="U253" s="46"/>
      <c r="V253" s="52"/>
      <c r="W253" s="52"/>
      <c r="X253" s="52">
        <f t="shared" si="927"/>
        <v>0</v>
      </c>
      <c r="Y253" s="52"/>
      <c r="Z253" s="22">
        <f t="shared" si="1040"/>
        <v>0</v>
      </c>
      <c r="AA253" s="52"/>
      <c r="AB253" s="22">
        <f t="shared" si="1041"/>
        <v>0</v>
      </c>
      <c r="AC253" s="22"/>
      <c r="AD253" s="22"/>
      <c r="AE253" s="22">
        <f t="shared" si="1028"/>
        <v>0</v>
      </c>
      <c r="AF253" s="22"/>
      <c r="AG253" s="22">
        <f t="shared" si="1029"/>
        <v>0</v>
      </c>
      <c r="AH253" s="52"/>
      <c r="AI253" s="52"/>
      <c r="AJ253" s="52">
        <f t="shared" si="1042"/>
        <v>0</v>
      </c>
      <c r="AK253" s="52"/>
      <c r="AL253" s="22">
        <f t="shared" si="1043"/>
        <v>0</v>
      </c>
      <c r="AM253" s="52"/>
      <c r="AN253" s="22">
        <f t="shared" si="1044"/>
        <v>0</v>
      </c>
      <c r="AO253" s="22">
        <f t="shared" si="928"/>
        <v>0</v>
      </c>
      <c r="AP253" s="22">
        <f t="shared" si="1045"/>
        <v>0</v>
      </c>
      <c r="AQ253" s="22"/>
      <c r="AR253" s="22"/>
      <c r="AS253" s="22">
        <f t="shared" si="1062"/>
        <v>0</v>
      </c>
      <c r="AT253" s="22"/>
      <c r="AU253" s="22">
        <f t="shared" si="1030"/>
        <v>0</v>
      </c>
      <c r="AV253" s="77"/>
      <c r="AW253" s="77" t="e">
        <f>+CY253/$CY$247*100</f>
        <v>#DIV/0!</v>
      </c>
      <c r="AX253" s="78"/>
      <c r="AY253" s="22">
        <f t="shared" si="1046"/>
        <v>0</v>
      </c>
      <c r="AZ253" s="22"/>
      <c r="BA253" s="22"/>
      <c r="BB253" s="22"/>
      <c r="BC253" s="22"/>
      <c r="BD253" s="22"/>
      <c r="BE253" s="22">
        <f t="shared" si="1047"/>
        <v>0</v>
      </c>
      <c r="BF253" s="22"/>
      <c r="BG253" s="22"/>
      <c r="BH253" s="22">
        <f t="shared" si="1048"/>
        <v>0</v>
      </c>
      <c r="BI253" s="22"/>
      <c r="BJ253" s="40"/>
      <c r="BK253" s="19">
        <f t="shared" si="979"/>
        <v>0</v>
      </c>
      <c r="BL253" s="19">
        <f t="shared" si="1003"/>
        <v>0</v>
      </c>
      <c r="BM253" s="19">
        <f t="shared" si="1004"/>
        <v>0</v>
      </c>
      <c r="BN253" s="19">
        <f t="shared" si="1005"/>
        <v>0</v>
      </c>
      <c r="BO253" s="19">
        <f t="shared" si="980"/>
        <v>0</v>
      </c>
      <c r="BP253" s="19">
        <f t="shared" si="1006"/>
        <v>0</v>
      </c>
      <c r="BQ253" s="19">
        <f t="shared" si="1049"/>
        <v>0</v>
      </c>
      <c r="BR253" s="19">
        <f t="shared" si="1007"/>
        <v>0</v>
      </c>
      <c r="BS253" s="19">
        <f t="shared" si="981"/>
        <v>0</v>
      </c>
      <c r="BT253" s="19">
        <f t="shared" si="1008"/>
        <v>0</v>
      </c>
      <c r="BU253" s="19">
        <f t="shared" si="1050"/>
        <v>0</v>
      </c>
      <c r="BV253" s="19">
        <f t="shared" si="1009"/>
        <v>0</v>
      </c>
      <c r="BW253" s="19">
        <f t="shared" si="982"/>
        <v>0</v>
      </c>
      <c r="BX253" s="19">
        <f t="shared" ref="BX253:BX254" si="1064">+((AQ253/1.18*N253/1000)+(AR253/1.18*N253/1000))/2</f>
        <v>0</v>
      </c>
      <c r="BY253" s="19">
        <f t="shared" ref="BY253:BY254" si="1065">+((AC253-ROUND(AQ253/1.18,2))*N253/1000+(AD253-ROUND(AR253/1.18,2))*N253/1000)/2</f>
        <v>0</v>
      </c>
      <c r="BZ253" s="19">
        <f t="shared" ref="BZ253:BZ254" si="1066">+((AC253*R253/1000)+(R253*AD253/1000))/2</f>
        <v>0</v>
      </c>
      <c r="CA253" s="19">
        <f t="shared" si="983"/>
        <v>0</v>
      </c>
      <c r="CB253" s="19">
        <f t="shared" ref="CB253:CB254" si="1067">+AT253/1.18*N253/1000</f>
        <v>0</v>
      </c>
      <c r="CC253" s="19">
        <f t="shared" ref="CC253:CC254" si="1068">+(AF253-ROUND(AT253/1.18,2))*N253/1000</f>
        <v>0</v>
      </c>
      <c r="CD253" s="19">
        <f t="shared" si="906"/>
        <v>0</v>
      </c>
      <c r="CE253" s="48">
        <f t="shared" si="952"/>
        <v>0</v>
      </c>
      <c r="CF253" s="48">
        <f t="shared" si="953"/>
        <v>0</v>
      </c>
      <c r="CG253" s="48">
        <f t="shared" si="954"/>
        <v>0</v>
      </c>
      <c r="CH253" s="48">
        <f t="shared" si="955"/>
        <v>0</v>
      </c>
      <c r="CI253" s="48">
        <f t="shared" si="956"/>
        <v>0</v>
      </c>
      <c r="CJ253" s="48">
        <f t="shared" si="957"/>
        <v>0</v>
      </c>
      <c r="CK253" s="48">
        <f t="shared" si="958"/>
        <v>0</v>
      </c>
      <c r="CL253" s="48">
        <f t="shared" si="959"/>
        <v>0</v>
      </c>
      <c r="CM253" s="48">
        <f t="shared" si="960"/>
        <v>0</v>
      </c>
      <c r="CN253" s="48">
        <f t="shared" si="929"/>
        <v>0</v>
      </c>
      <c r="CO253" s="48">
        <f t="shared" si="961"/>
        <v>0</v>
      </c>
      <c r="CP253" s="48">
        <f t="shared" si="962"/>
        <v>0</v>
      </c>
      <c r="CQ253" s="48">
        <f t="shared" si="963"/>
        <v>0</v>
      </c>
      <c r="CR253" s="48">
        <f t="shared" si="964"/>
        <v>0</v>
      </c>
      <c r="CS253" s="48">
        <f t="shared" si="965"/>
        <v>0</v>
      </c>
      <c r="CT253" s="48">
        <f t="shared" si="966"/>
        <v>0</v>
      </c>
      <c r="CU253" s="48">
        <f t="shared" si="930"/>
        <v>0</v>
      </c>
      <c r="CV253" s="48">
        <f t="shared" si="967"/>
        <v>0</v>
      </c>
      <c r="CW253" s="19">
        <f t="shared" ref="CW253:CW254" si="1069">+((AI253*F253)/1.18+(G253*AK253)/1.18+(H253*AM253)/1.18)/1000</f>
        <v>0</v>
      </c>
      <c r="CX253" s="19">
        <f t="shared" ref="CX253:CX254" si="1070">+((W253*F253)+(Y253*G253)+(AA253*H253))/1000</f>
        <v>0</v>
      </c>
      <c r="CY253" s="19">
        <f t="shared" ref="CY253:CY254" si="1071">+((AQ253*O253)/1.18+(Q253*AT253)/1.18+(AR253*P253)/1.18)/1000</f>
        <v>0</v>
      </c>
      <c r="CZ253" s="19">
        <f t="shared" ref="CZ253:CZ254" si="1072">+((AC253*O253)+(AF253*Q253)+(AD253*P253))/1000</f>
        <v>0</v>
      </c>
      <c r="DA253" s="21">
        <f t="shared" si="968"/>
        <v>0</v>
      </c>
      <c r="DB253" s="21">
        <f t="shared" si="969"/>
        <v>0</v>
      </c>
      <c r="DC253" s="79">
        <f t="shared" si="970"/>
        <v>0</v>
      </c>
      <c r="DD253" s="79">
        <f t="shared" si="970"/>
        <v>0</v>
      </c>
      <c r="DE253" s="79">
        <f t="shared" ref="DE253:DF257" si="1073">+(O253+S253)*AC253/1000</f>
        <v>0</v>
      </c>
      <c r="DF253" s="79">
        <f t="shared" si="1073"/>
        <v>0</v>
      </c>
      <c r="DG253" s="79">
        <f t="shared" si="1056"/>
        <v>0</v>
      </c>
      <c r="DH253" s="51">
        <f t="shared" si="972"/>
        <v>0</v>
      </c>
      <c r="DI253" s="39"/>
      <c r="DJ253" s="80">
        <f t="shared" si="973"/>
        <v>0</v>
      </c>
      <c r="DK253" s="39">
        <f t="shared" si="974"/>
        <v>0</v>
      </c>
      <c r="DL253" s="39">
        <f t="shared" si="975"/>
        <v>0</v>
      </c>
      <c r="DM253" s="48">
        <f>+AT253-'[2]тарифы (12-13) население 15%'!AP300</f>
        <v>0</v>
      </c>
      <c r="DN253" s="39"/>
      <c r="DO253" s="39"/>
      <c r="DP253" s="39"/>
      <c r="DQ253" s="39"/>
      <c r="DR253" s="39"/>
      <c r="DS253" s="39"/>
      <c r="DT253" s="39"/>
      <c r="DU253" s="19">
        <f t="shared" si="1051"/>
        <v>0</v>
      </c>
      <c r="DV253" s="40">
        <f t="shared" si="1052"/>
        <v>0</v>
      </c>
      <c r="DW253" s="40">
        <f t="shared" si="1053"/>
        <v>0</v>
      </c>
      <c r="DX253" s="46"/>
      <c r="DY253" s="21">
        <f t="shared" si="1032"/>
        <v>0</v>
      </c>
      <c r="DZ253" s="19">
        <f t="shared" si="1054"/>
        <v>0</v>
      </c>
      <c r="EA253" s="19">
        <f t="shared" si="1055"/>
        <v>0</v>
      </c>
      <c r="EB253" s="19"/>
      <c r="EC253" s="48">
        <f t="shared" si="1059"/>
        <v>0</v>
      </c>
      <c r="ED253" s="48">
        <f t="shared" si="1060"/>
        <v>0</v>
      </c>
      <c r="EE253" s="22"/>
      <c r="EF253" s="22"/>
      <c r="EG253" s="22">
        <f t="shared" si="1033"/>
        <v>0</v>
      </c>
      <c r="EH253" s="22"/>
      <c r="EI253" s="22"/>
      <c r="EJ253" s="22">
        <f t="shared" si="1034"/>
        <v>0</v>
      </c>
      <c r="EK253" s="40"/>
      <c r="EL253" s="19"/>
      <c r="EM253" s="19"/>
      <c r="EN253" s="40">
        <f t="shared" si="1035"/>
        <v>0</v>
      </c>
      <c r="EO253" s="40">
        <f t="shared" si="1024"/>
        <v>0</v>
      </c>
      <c r="EP253" s="40"/>
      <c r="EQ253" s="21">
        <f t="shared" si="1022"/>
        <v>0</v>
      </c>
      <c r="ER253" s="21"/>
      <c r="ES253" s="21">
        <f t="shared" si="1061"/>
        <v>0</v>
      </c>
      <c r="ET253" s="21"/>
      <c r="EU253" s="19">
        <f t="shared" si="1027"/>
        <v>0</v>
      </c>
      <c r="EV253" s="21"/>
      <c r="EW253" s="39"/>
      <c r="EX253" s="39">
        <f t="shared" si="1057"/>
        <v>0</v>
      </c>
      <c r="EY253" s="39">
        <f t="shared" si="951"/>
        <v>0</v>
      </c>
      <c r="EZ253" s="39"/>
      <c r="FA253" s="39"/>
      <c r="FB253" s="39"/>
      <c r="FC253" s="39"/>
      <c r="FD253" s="39"/>
      <c r="FE253" s="39"/>
      <c r="FF253" s="39"/>
      <c r="FG253" s="39"/>
      <c r="FH253" s="39"/>
      <c r="FI253" s="39"/>
      <c r="FJ253" s="19">
        <f t="shared" si="1036"/>
        <v>0</v>
      </c>
      <c r="FK253" s="19">
        <f t="shared" si="1037"/>
        <v>0</v>
      </c>
      <c r="FL253" s="19">
        <f t="shared" si="1025"/>
        <v>0</v>
      </c>
      <c r="FM253" s="19"/>
      <c r="FN253" s="19"/>
      <c r="FO253" s="22"/>
      <c r="FP253" s="22"/>
      <c r="FQ253" s="22"/>
      <c r="FR253" s="22"/>
      <c r="FS253" s="22"/>
      <c r="FT253" s="22"/>
      <c r="FU253" s="40"/>
      <c r="FV253" s="19"/>
      <c r="FW253" s="19"/>
      <c r="FX253" s="19"/>
      <c r="FY253" s="19"/>
      <c r="FZ253" s="19"/>
      <c r="GA253" s="19"/>
      <c r="GB253" s="19"/>
      <c r="GC253" s="20"/>
      <c r="GD253" s="20"/>
      <c r="GE253" s="21"/>
      <c r="GF253" s="21"/>
      <c r="GG253" s="21"/>
      <c r="GH253" s="21"/>
      <c r="GI253" s="21"/>
      <c r="GJ253" s="21"/>
      <c r="GK253" s="21"/>
      <c r="GL253" s="21"/>
      <c r="GM253" s="19"/>
      <c r="GN253" s="19"/>
      <c r="GO253" s="22"/>
      <c r="GP253" s="22"/>
      <c r="GQ253" s="22"/>
      <c r="GR253" s="22"/>
      <c r="GS253" s="22"/>
      <c r="GT253" s="22"/>
      <c r="GU253" s="43"/>
      <c r="GV253" s="19"/>
      <c r="GW253" s="19"/>
      <c r="GX253" s="19"/>
      <c r="GY253" s="19"/>
      <c r="GZ253" s="23"/>
      <c r="HA253" s="22"/>
      <c r="HB253" s="22"/>
      <c r="HC253" s="22"/>
      <c r="HD253" s="22"/>
      <c r="HE253" s="22"/>
      <c r="HF253" s="22"/>
      <c r="HG253" s="233"/>
    </row>
    <row r="254" spans="2:215" ht="15.75">
      <c r="B254" s="10"/>
      <c r="C254" s="161" t="s">
        <v>204</v>
      </c>
      <c r="D254" s="73">
        <f>+'[2]2012(объемы годовые)'!I257</f>
        <v>375.98</v>
      </c>
      <c r="E254" s="73"/>
      <c r="F254" s="74">
        <f>+E254*$F$3</f>
        <v>0</v>
      </c>
      <c r="G254" s="74">
        <f>+E254*$G$3</f>
        <v>0</v>
      </c>
      <c r="H254" s="74">
        <f>+E254*$H$3</f>
        <v>0</v>
      </c>
      <c r="I254" s="73">
        <f>+'[2]2012(объемы годовые)'!Q257+'[2]2012(объемы годовые)'!U257+'[2]2012(объемы годовые)'!Y257</f>
        <v>375.98</v>
      </c>
      <c r="J254" s="74">
        <f>+I254*$J$3</f>
        <v>207.766548</v>
      </c>
      <c r="K254" s="74">
        <f>+I254*$K$3</f>
        <v>56.05861800000001</v>
      </c>
      <c r="L254" s="74">
        <f>+I254*$L$3</f>
        <v>112.15483400000001</v>
      </c>
      <c r="M254" s="73">
        <f t="shared" si="1063"/>
        <v>342.12</v>
      </c>
      <c r="N254" s="73">
        <f>+E254</f>
        <v>0</v>
      </c>
      <c r="O254" s="73"/>
      <c r="P254" s="73"/>
      <c r="Q254" s="73"/>
      <c r="R254" s="75">
        <f>+S254+T254+U254</f>
        <v>342.12</v>
      </c>
      <c r="S254" s="74">
        <v>208.69329765370779</v>
      </c>
      <c r="T254" s="74"/>
      <c r="U254" s="74">
        <v>133.42670234629219</v>
      </c>
      <c r="V254" s="52">
        <v>8181.56</v>
      </c>
      <c r="W254" s="52">
        <v>8181.56</v>
      </c>
      <c r="X254" s="52">
        <f t="shared" si="927"/>
        <v>100</v>
      </c>
      <c r="Y254" s="52">
        <v>8181.56</v>
      </c>
      <c r="Z254" s="22">
        <f t="shared" si="1040"/>
        <v>100</v>
      </c>
      <c r="AA254" s="52">
        <v>8181.56</v>
      </c>
      <c r="AB254" s="22">
        <f t="shared" si="1041"/>
        <v>100</v>
      </c>
      <c r="AC254" s="52">
        <v>8181.56</v>
      </c>
      <c r="AD254" s="52">
        <v>8181.56</v>
      </c>
      <c r="AE254" s="22">
        <f t="shared" si="1028"/>
        <v>100</v>
      </c>
      <c r="AF254" s="52">
        <v>8181.56</v>
      </c>
      <c r="AG254" s="22">
        <f t="shared" si="1029"/>
        <v>100</v>
      </c>
      <c r="AH254" s="52"/>
      <c r="AI254" s="52"/>
      <c r="AJ254" s="52">
        <f t="shared" si="1042"/>
        <v>0</v>
      </c>
      <c r="AK254" s="52"/>
      <c r="AL254" s="22">
        <f t="shared" si="1043"/>
        <v>0</v>
      </c>
      <c r="AM254" s="52"/>
      <c r="AN254" s="22">
        <f t="shared" si="1044"/>
        <v>0</v>
      </c>
      <c r="AO254" s="22">
        <f t="shared" si="928"/>
        <v>100</v>
      </c>
      <c r="AP254" s="22">
        <f t="shared" si="1045"/>
        <v>0</v>
      </c>
      <c r="AQ254" s="52"/>
      <c r="AR254" s="52"/>
      <c r="AS254" s="22">
        <f t="shared" si="1062"/>
        <v>0</v>
      </c>
      <c r="AT254" s="52"/>
      <c r="AU254" s="22">
        <f t="shared" si="1030"/>
        <v>0</v>
      </c>
      <c r="AV254" s="77"/>
      <c r="AW254" s="77" t="e">
        <f>+CY254/$CY$247*100</f>
        <v>#DIV/0!</v>
      </c>
      <c r="AX254" s="78" t="s">
        <v>175</v>
      </c>
      <c r="AY254" s="52">
        <f t="shared" si="1046"/>
        <v>0.34212000000000004</v>
      </c>
      <c r="AZ254" s="52"/>
      <c r="BA254" s="22">
        <f>+[8]БПр!$BW$400/1000</f>
        <v>0.34212000000000004</v>
      </c>
      <c r="BB254" s="52"/>
      <c r="BC254" s="52">
        <v>8181.56</v>
      </c>
      <c r="BD254" s="52">
        <v>8181.56</v>
      </c>
      <c r="BE254" s="22">
        <f t="shared" si="1047"/>
        <v>100</v>
      </c>
      <c r="BF254" s="52"/>
      <c r="BG254" s="52"/>
      <c r="BH254" s="22">
        <f t="shared" si="1048"/>
        <v>0</v>
      </c>
      <c r="BI254" s="22"/>
      <c r="BJ254" s="40" t="s">
        <v>176</v>
      </c>
      <c r="BK254" s="19">
        <f t="shared" si="979"/>
        <v>3076.1029288000004</v>
      </c>
      <c r="BL254" s="19">
        <f t="shared" si="1003"/>
        <v>0</v>
      </c>
      <c r="BM254" s="19">
        <f t="shared" si="1004"/>
        <v>0</v>
      </c>
      <c r="BN254" s="19">
        <f t="shared" si="1005"/>
        <v>3076.1029288000004</v>
      </c>
      <c r="BO254" s="19">
        <f t="shared" si="980"/>
        <v>3076.1029288000004</v>
      </c>
      <c r="BP254" s="19">
        <f t="shared" si="1006"/>
        <v>0</v>
      </c>
      <c r="BQ254" s="19">
        <f t="shared" si="1049"/>
        <v>0</v>
      </c>
      <c r="BR254" s="19">
        <f t="shared" si="1007"/>
        <v>3076.1029288000004</v>
      </c>
      <c r="BS254" s="19">
        <f t="shared" si="981"/>
        <v>3076.1029288000004</v>
      </c>
      <c r="BT254" s="19">
        <f t="shared" si="1008"/>
        <v>0</v>
      </c>
      <c r="BU254" s="19">
        <f t="shared" si="1050"/>
        <v>0</v>
      </c>
      <c r="BV254" s="19">
        <f t="shared" si="1009"/>
        <v>3076.1029288000004</v>
      </c>
      <c r="BW254" s="19">
        <f t="shared" si="982"/>
        <v>2799.0753072000002</v>
      </c>
      <c r="BX254" s="19">
        <f t="shared" si="1064"/>
        <v>0</v>
      </c>
      <c r="BY254" s="19">
        <f t="shared" si="1065"/>
        <v>0</v>
      </c>
      <c r="BZ254" s="19">
        <f t="shared" si="1066"/>
        <v>2799.0753072000002</v>
      </c>
      <c r="CA254" s="19">
        <f t="shared" si="983"/>
        <v>2799.0753072000002</v>
      </c>
      <c r="CB254" s="19">
        <f t="shared" si="1067"/>
        <v>0</v>
      </c>
      <c r="CC254" s="19">
        <f t="shared" si="1068"/>
        <v>0</v>
      </c>
      <c r="CD254" s="19">
        <f t="shared" si="906"/>
        <v>2799.0753072000002</v>
      </c>
      <c r="CE254" s="48">
        <f t="shared" si="952"/>
        <v>8991.2981667251261</v>
      </c>
      <c r="CF254" s="48">
        <f t="shared" si="953"/>
        <v>8181.5600000000013</v>
      </c>
      <c r="CG254" s="48">
        <f t="shared" si="954"/>
        <v>8181.5600000000013</v>
      </c>
      <c r="CH254" s="48">
        <f t="shared" si="955"/>
        <v>0</v>
      </c>
      <c r="CI254" s="48">
        <f t="shared" si="956"/>
        <v>0</v>
      </c>
      <c r="CJ254" s="48">
        <f t="shared" si="957"/>
        <v>0</v>
      </c>
      <c r="CK254" s="48">
        <f t="shared" si="958"/>
        <v>8181.5600000000013</v>
      </c>
      <c r="CL254" s="48">
        <f t="shared" si="959"/>
        <v>8181.5600000000013</v>
      </c>
      <c r="CM254" s="48">
        <f t="shared" si="960"/>
        <v>8181.5600000000013</v>
      </c>
      <c r="CN254" s="48">
        <f t="shared" si="929"/>
        <v>8181.5600000000013</v>
      </c>
      <c r="CO254" s="48">
        <f t="shared" si="961"/>
        <v>8181.5600000000013</v>
      </c>
      <c r="CP254" s="48">
        <f t="shared" si="962"/>
        <v>8181.5600000000013</v>
      </c>
      <c r="CQ254" s="48">
        <f t="shared" si="963"/>
        <v>0</v>
      </c>
      <c r="CR254" s="48">
        <f t="shared" si="964"/>
        <v>0</v>
      </c>
      <c r="CS254" s="48">
        <f t="shared" si="965"/>
        <v>8181.5600000000013</v>
      </c>
      <c r="CT254" s="48">
        <f t="shared" si="966"/>
        <v>8181.5600000000013</v>
      </c>
      <c r="CU254" s="48">
        <f t="shared" si="930"/>
        <v>8181.5600000000013</v>
      </c>
      <c r="CV254" s="48">
        <f t="shared" si="967"/>
        <v>100</v>
      </c>
      <c r="CW254" s="19">
        <f t="shared" si="1069"/>
        <v>0</v>
      </c>
      <c r="CX254" s="19">
        <f t="shared" si="1070"/>
        <v>0</v>
      </c>
      <c r="CY254" s="19">
        <f t="shared" si="1071"/>
        <v>0</v>
      </c>
      <c r="CZ254" s="19">
        <f t="shared" si="1072"/>
        <v>0</v>
      </c>
      <c r="DA254" s="21">
        <f t="shared" si="968"/>
        <v>0</v>
      </c>
      <c r="DB254" s="21">
        <f t="shared" si="969"/>
        <v>0</v>
      </c>
      <c r="DC254" s="79">
        <f t="shared" si="970"/>
        <v>0</v>
      </c>
      <c r="DD254" s="79">
        <f t="shared" si="970"/>
        <v>0</v>
      </c>
      <c r="DE254" s="79">
        <f t="shared" si="1073"/>
        <v>1707.4367363516694</v>
      </c>
      <c r="DF254" s="79">
        <f t="shared" si="1073"/>
        <v>0</v>
      </c>
      <c r="DG254" s="79">
        <f t="shared" si="1056"/>
        <v>1091.6385708483303</v>
      </c>
      <c r="DH254" s="51">
        <f t="shared" si="972"/>
        <v>2799.0753071999998</v>
      </c>
      <c r="DI254" s="39"/>
      <c r="DJ254" s="80">
        <f t="shared" si="973"/>
        <v>1699.8544784548801</v>
      </c>
      <c r="DK254" s="39">
        <f t="shared" si="974"/>
        <v>458.64694668408009</v>
      </c>
      <c r="DL254" s="39">
        <f t="shared" si="975"/>
        <v>917.60150366104006</v>
      </c>
      <c r="DM254" s="48">
        <f>+AT254-'[2]тарифы (12-13) население 15%'!AP301</f>
        <v>0</v>
      </c>
      <c r="DN254" s="39"/>
      <c r="DO254" s="39"/>
      <c r="DP254" s="39"/>
      <c r="DQ254" s="39"/>
      <c r="DR254" s="39"/>
      <c r="DS254" s="39"/>
      <c r="DT254" s="39"/>
      <c r="DU254" s="19">
        <f t="shared" si="1051"/>
        <v>0</v>
      </c>
      <c r="DV254" s="40">
        <f t="shared" si="1052"/>
        <v>0</v>
      </c>
      <c r="DW254" s="40">
        <f t="shared" si="1053"/>
        <v>0</v>
      </c>
      <c r="DX254" s="46"/>
      <c r="DY254" s="21">
        <f t="shared" si="1032"/>
        <v>0</v>
      </c>
      <c r="DZ254" s="19">
        <f t="shared" si="1054"/>
        <v>2.7990753072000003</v>
      </c>
      <c r="EA254" s="19">
        <f t="shared" si="1055"/>
        <v>2.7990753072000003</v>
      </c>
      <c r="EB254" s="19"/>
      <c r="EC254" s="48">
        <f t="shared" si="1059"/>
        <v>0</v>
      </c>
      <c r="ED254" s="48">
        <f t="shared" si="1060"/>
        <v>0</v>
      </c>
      <c r="EE254" s="52">
        <v>8181.56</v>
      </c>
      <c r="EF254" s="52">
        <v>8754.27</v>
      </c>
      <c r="EG254" s="22">
        <f t="shared" si="1033"/>
        <v>107.00000977808632</v>
      </c>
      <c r="EH254" s="52"/>
      <c r="EI254" s="52"/>
      <c r="EJ254" s="22">
        <f t="shared" si="1034"/>
        <v>0</v>
      </c>
      <c r="EK254" s="40" t="s">
        <v>177</v>
      </c>
      <c r="EL254" s="19">
        <v>0.36099999999999999</v>
      </c>
      <c r="EM254" s="19"/>
      <c r="EN254" s="40">
        <f t="shared" si="1035"/>
        <v>0</v>
      </c>
      <c r="EO254" s="40">
        <f t="shared" si="1024"/>
        <v>0</v>
      </c>
      <c r="EP254" s="40"/>
      <c r="EQ254" s="21">
        <f t="shared" si="1022"/>
        <v>0</v>
      </c>
      <c r="ER254" s="21"/>
      <c r="ES254" s="21">
        <f t="shared" si="1061"/>
        <v>2953.5431600000002</v>
      </c>
      <c r="ET254" s="21"/>
      <c r="EU254" s="19">
        <f t="shared" si="1027"/>
        <v>3160.2914700000001</v>
      </c>
      <c r="EV254" s="21"/>
      <c r="EW254" s="39"/>
      <c r="EX254" s="39">
        <f t="shared" si="1057"/>
        <v>2799.0753072000002</v>
      </c>
      <c r="EY254" s="39">
        <f t="shared" si="951"/>
        <v>2995.0108524000007</v>
      </c>
      <c r="EZ254" s="39"/>
      <c r="FA254" s="39"/>
      <c r="FB254" s="39"/>
      <c r="FC254" s="39"/>
      <c r="FD254" s="39"/>
      <c r="FE254" s="39"/>
      <c r="FF254" s="39"/>
      <c r="FG254" s="39"/>
      <c r="FH254" s="39"/>
      <c r="FI254" s="39"/>
      <c r="FJ254" s="19">
        <f t="shared" si="1036"/>
        <v>0</v>
      </c>
      <c r="FK254" s="19">
        <f t="shared" si="1037"/>
        <v>0</v>
      </c>
      <c r="FL254" s="19">
        <f t="shared" si="1025"/>
        <v>0</v>
      </c>
      <c r="FM254" s="19">
        <v>0.3397</v>
      </c>
      <c r="FN254" s="19"/>
      <c r="FO254" s="52">
        <v>9959.61</v>
      </c>
      <c r="FP254" s="52">
        <v>10382.51</v>
      </c>
      <c r="FQ254" s="22"/>
      <c r="FR254" s="52" t="s">
        <v>633</v>
      </c>
      <c r="FS254" s="52" t="s">
        <v>633</v>
      </c>
      <c r="FT254" s="22"/>
      <c r="FU254" s="40" t="s">
        <v>657</v>
      </c>
      <c r="FV254" s="19"/>
      <c r="FW254" s="19"/>
      <c r="FX254" s="19"/>
      <c r="FY254" s="19"/>
      <c r="FZ254" s="19"/>
      <c r="GA254" s="19"/>
      <c r="GB254" s="19"/>
      <c r="GC254" s="20"/>
      <c r="GD254" s="20"/>
      <c r="GE254" s="19"/>
      <c r="GF254" s="21"/>
      <c r="GG254" s="19"/>
      <c r="GH254" s="19"/>
      <c r="GI254" s="19"/>
      <c r="GJ254" s="21"/>
      <c r="GK254" s="19"/>
      <c r="GL254" s="19"/>
      <c r="GM254" s="19"/>
      <c r="GN254" s="19"/>
      <c r="GO254" s="22">
        <v>10382.51</v>
      </c>
      <c r="GP254" s="22">
        <v>10697.6</v>
      </c>
      <c r="GQ254" s="22"/>
      <c r="GR254" s="22" t="s">
        <v>633</v>
      </c>
      <c r="GS254" s="22" t="s">
        <v>633</v>
      </c>
      <c r="GT254" s="22"/>
      <c r="GU254" s="40" t="s">
        <v>657</v>
      </c>
      <c r="GV254" s="19"/>
      <c r="GW254" s="19"/>
      <c r="GX254" s="19"/>
      <c r="GY254" s="19"/>
      <c r="GZ254" s="23"/>
      <c r="HA254" s="22">
        <v>10697.6</v>
      </c>
      <c r="HB254" s="22">
        <v>11037.88</v>
      </c>
      <c r="HC254" s="22"/>
      <c r="HD254" s="52" t="s">
        <v>633</v>
      </c>
      <c r="HE254" s="22" t="s">
        <v>633</v>
      </c>
      <c r="HF254" s="22"/>
      <c r="HG254" s="236" t="s">
        <v>657</v>
      </c>
    </row>
    <row r="255" spans="2:215" ht="15.75">
      <c r="B255" s="15"/>
      <c r="C255" s="216" t="s">
        <v>636</v>
      </c>
      <c r="D255" s="97"/>
      <c r="E255" s="97"/>
      <c r="F255" s="98"/>
      <c r="G255" s="98"/>
      <c r="H255" s="98"/>
      <c r="I255" s="97"/>
      <c r="J255" s="63"/>
      <c r="K255" s="63"/>
      <c r="L255" s="63"/>
      <c r="M255" s="97"/>
      <c r="N255" s="97"/>
      <c r="O255" s="139"/>
      <c r="P255" s="139"/>
      <c r="Q255" s="139"/>
      <c r="R255" s="62"/>
      <c r="S255" s="63"/>
      <c r="T255" s="63"/>
      <c r="U255" s="63"/>
      <c r="V255" s="100"/>
      <c r="W255" s="100"/>
      <c r="X255" s="100"/>
      <c r="Y255" s="100"/>
      <c r="Z255" s="94"/>
      <c r="AA255" s="100"/>
      <c r="AB255" s="94"/>
      <c r="AC255" s="101"/>
      <c r="AD255" s="101"/>
      <c r="AE255" s="94"/>
      <c r="AF255" s="101"/>
      <c r="AG255" s="102"/>
      <c r="AH255" s="100"/>
      <c r="AI255" s="100"/>
      <c r="AJ255" s="100"/>
      <c r="AK255" s="100"/>
      <c r="AL255" s="94"/>
      <c r="AM255" s="100"/>
      <c r="AN255" s="94"/>
      <c r="AO255" s="94"/>
      <c r="AP255" s="94"/>
      <c r="AQ255" s="101"/>
      <c r="AR255" s="101"/>
      <c r="AS255" s="94"/>
      <c r="AT255" s="101"/>
      <c r="AU255" s="102"/>
      <c r="AV255" s="103"/>
      <c r="AW255" s="104"/>
      <c r="AX255" s="105"/>
      <c r="AY255" s="134"/>
      <c r="AZ255" s="134"/>
      <c r="BA255" s="106"/>
      <c r="BB255" s="134"/>
      <c r="BC255" s="134"/>
      <c r="BD255" s="101"/>
      <c r="BE255" s="102"/>
      <c r="BF255" s="101"/>
      <c r="BG255" s="135"/>
      <c r="BH255" s="102"/>
      <c r="BI255" s="94"/>
      <c r="BJ255" s="108"/>
      <c r="BK255" s="55"/>
      <c r="BL255" s="55"/>
      <c r="BM255" s="55"/>
      <c r="BN255" s="55"/>
      <c r="BO255" s="55"/>
      <c r="BP255" s="55"/>
      <c r="BQ255" s="55"/>
      <c r="BR255" s="55"/>
      <c r="BS255" s="55"/>
      <c r="BT255" s="55"/>
      <c r="BU255" s="55"/>
      <c r="BV255" s="55"/>
      <c r="BW255" s="55"/>
      <c r="BX255" s="55"/>
      <c r="BY255" s="55"/>
      <c r="BZ255" s="55"/>
      <c r="CA255" s="55"/>
      <c r="CB255" s="55"/>
      <c r="CC255" s="55"/>
      <c r="CD255" s="55"/>
      <c r="CE255" s="109"/>
      <c r="CF255" s="109"/>
      <c r="CG255" s="109"/>
      <c r="CH255" s="109"/>
      <c r="CI255" s="109"/>
      <c r="CJ255" s="109"/>
      <c r="CK255" s="109"/>
      <c r="CL255" s="109"/>
      <c r="CM255" s="109"/>
      <c r="CN255" s="109"/>
      <c r="CO255" s="109"/>
      <c r="CP255" s="109"/>
      <c r="CQ255" s="109"/>
      <c r="CR255" s="109"/>
      <c r="CS255" s="109"/>
      <c r="CT255" s="109"/>
      <c r="CU255" s="110"/>
      <c r="CV255" s="111"/>
      <c r="CW255" s="112"/>
      <c r="CX255" s="55"/>
      <c r="CY255" s="55"/>
      <c r="CZ255" s="55"/>
      <c r="DA255" s="113"/>
      <c r="DB255" s="114"/>
      <c r="DC255" s="53"/>
      <c r="DD255" s="53"/>
      <c r="DE255" s="84"/>
      <c r="DF255" s="84"/>
      <c r="DG255" s="115"/>
      <c r="DH255" s="85"/>
      <c r="DI255" s="26"/>
      <c r="DJ255" s="47"/>
      <c r="DK255" s="26"/>
      <c r="DL255" s="26"/>
      <c r="DM255" s="54"/>
      <c r="DN255" s="26"/>
      <c r="DO255" s="26"/>
      <c r="DP255" s="26"/>
      <c r="DQ255" s="26"/>
      <c r="DR255" s="26"/>
      <c r="DS255" s="26"/>
      <c r="DT255" s="26"/>
      <c r="DU255" s="55"/>
      <c r="DV255" s="117"/>
      <c r="DW255" s="117"/>
      <c r="DX255" s="49"/>
      <c r="DY255" s="114"/>
      <c r="DZ255" s="86"/>
      <c r="EA255" s="87"/>
      <c r="EB255" s="88"/>
      <c r="EC255" s="54"/>
      <c r="ED255" s="54"/>
      <c r="EE255" s="101"/>
      <c r="EF255" s="101"/>
      <c r="EG255" s="107"/>
      <c r="EH255" s="101"/>
      <c r="EI255" s="135"/>
      <c r="EJ255" s="107"/>
      <c r="EK255" s="124"/>
      <c r="EL255" s="55"/>
      <c r="EM255" s="55"/>
      <c r="EN255" s="117"/>
      <c r="EO255" s="117"/>
      <c r="EP255" s="108"/>
      <c r="EQ255" s="125"/>
      <c r="ER255" s="45"/>
      <c r="ES255" s="159"/>
      <c r="ET255" s="159"/>
      <c r="EU255" s="86"/>
      <c r="EV255" s="160"/>
      <c r="EW255" s="26"/>
      <c r="EX255" s="26"/>
      <c r="EY255" s="26"/>
      <c r="EZ255" s="26"/>
      <c r="FA255" s="26"/>
      <c r="FB255" s="26"/>
      <c r="FC255" s="26"/>
      <c r="FD255" s="26"/>
      <c r="FE255" s="26"/>
      <c r="FF255" s="26"/>
      <c r="FG255" s="26"/>
      <c r="FH255" s="26"/>
      <c r="FI255" s="26"/>
      <c r="FJ255" s="126"/>
      <c r="FK255" s="112"/>
      <c r="FL255" s="112"/>
      <c r="FM255" s="55"/>
      <c r="FN255" s="55"/>
      <c r="FO255" s="142"/>
      <c r="FP255" s="142"/>
      <c r="FQ255" s="89"/>
      <c r="FR255" s="142"/>
      <c r="FS255" s="142"/>
      <c r="FT255" s="89"/>
      <c r="FU255" s="170"/>
      <c r="FV255" s="88"/>
      <c r="FW255" s="88"/>
      <c r="FX255" s="88"/>
      <c r="FY255" s="88"/>
      <c r="FZ255" s="88"/>
      <c r="GA255" s="88"/>
      <c r="GB255" s="88"/>
      <c r="GC255" s="214"/>
      <c r="GD255" s="214"/>
      <c r="GE255" s="215"/>
      <c r="GF255" s="215"/>
      <c r="GG255" s="215"/>
      <c r="GH255" s="215"/>
      <c r="GI255" s="215"/>
      <c r="GJ255" s="215"/>
      <c r="GK255" s="215"/>
      <c r="GL255" s="215"/>
      <c r="GM255" s="88"/>
      <c r="GN255" s="88"/>
      <c r="GO255" s="142"/>
      <c r="GP255" s="89"/>
      <c r="GQ255" s="89"/>
      <c r="GR255" s="142"/>
      <c r="GS255" s="142"/>
      <c r="GT255" s="89"/>
      <c r="GU255" s="217"/>
      <c r="GV255" s="88"/>
      <c r="GW255" s="88"/>
      <c r="GX255" s="88"/>
      <c r="GY255" s="88"/>
      <c r="GZ255" s="88"/>
      <c r="HA255" s="142"/>
      <c r="HB255" s="142"/>
      <c r="HC255" s="89"/>
      <c r="HD255" s="142"/>
      <c r="HE255" s="142"/>
      <c r="HF255" s="96"/>
      <c r="HG255" s="217"/>
    </row>
    <row r="256" spans="2:215" ht="16.149999999999999" customHeight="1" thickBot="1">
      <c r="B256" s="15"/>
      <c r="C256" s="149" t="s">
        <v>638</v>
      </c>
      <c r="D256" s="133"/>
      <c r="E256" s="133"/>
      <c r="F256" s="98"/>
      <c r="G256" s="98"/>
      <c r="H256" s="98"/>
      <c r="I256" s="133"/>
      <c r="J256" s="133"/>
      <c r="K256" s="133"/>
      <c r="L256" s="133"/>
      <c r="M256" s="133"/>
      <c r="N256" s="133"/>
      <c r="O256" s="99"/>
      <c r="P256" s="99"/>
      <c r="Q256" s="99"/>
      <c r="R256" s="133"/>
      <c r="S256" s="133"/>
      <c r="T256" s="133"/>
      <c r="U256" s="133"/>
      <c r="V256" s="100"/>
      <c r="W256" s="100"/>
      <c r="X256" s="100"/>
      <c r="Y256" s="100"/>
      <c r="Z256" s="94"/>
      <c r="AA256" s="100"/>
      <c r="AB256" s="94"/>
      <c r="AC256" s="102"/>
      <c r="AD256" s="102"/>
      <c r="AE256" s="94"/>
      <c r="AF256" s="102"/>
      <c r="AG256" s="102"/>
      <c r="AH256" s="94"/>
      <c r="AI256" s="94"/>
      <c r="AJ256" s="100"/>
      <c r="AK256" s="94"/>
      <c r="AL256" s="94"/>
      <c r="AM256" s="94"/>
      <c r="AN256" s="94"/>
      <c r="AO256" s="94"/>
      <c r="AP256" s="94"/>
      <c r="AQ256" s="102"/>
      <c r="AR256" s="102"/>
      <c r="AS256" s="94"/>
      <c r="AT256" s="102"/>
      <c r="AU256" s="102"/>
      <c r="AV256" s="103"/>
      <c r="AW256" s="104"/>
      <c r="AX256" s="105"/>
      <c r="AY256" s="106"/>
      <c r="AZ256" s="106"/>
      <c r="BA256" s="106"/>
      <c r="BB256" s="106"/>
      <c r="BC256" s="106"/>
      <c r="BD256" s="102"/>
      <c r="BE256" s="102"/>
      <c r="BF256" s="102"/>
      <c r="BG256" s="107"/>
      <c r="BH256" s="102"/>
      <c r="BI256" s="94"/>
      <c r="BJ256" s="108"/>
      <c r="BK256" s="55"/>
      <c r="BL256" s="55"/>
      <c r="BM256" s="55"/>
      <c r="BN256" s="55"/>
      <c r="BO256" s="55"/>
      <c r="BP256" s="55"/>
      <c r="BQ256" s="55"/>
      <c r="BR256" s="55"/>
      <c r="BS256" s="55"/>
      <c r="BT256" s="55"/>
      <c r="BU256" s="55"/>
      <c r="BV256" s="55"/>
      <c r="BW256" s="55"/>
      <c r="BX256" s="55"/>
      <c r="BY256" s="55"/>
      <c r="BZ256" s="55"/>
      <c r="CA256" s="55"/>
      <c r="CB256" s="55"/>
      <c r="CC256" s="55"/>
      <c r="CD256" s="55"/>
      <c r="CE256" s="109"/>
      <c r="CF256" s="109"/>
      <c r="CG256" s="109"/>
      <c r="CH256" s="109"/>
      <c r="CI256" s="109"/>
      <c r="CJ256" s="109"/>
      <c r="CK256" s="109"/>
      <c r="CL256" s="109"/>
      <c r="CM256" s="109"/>
      <c r="CN256" s="109"/>
      <c r="CO256" s="109"/>
      <c r="CP256" s="109"/>
      <c r="CQ256" s="109"/>
      <c r="CR256" s="109"/>
      <c r="CS256" s="109"/>
      <c r="CT256" s="109"/>
      <c r="CU256" s="110"/>
      <c r="CV256" s="111"/>
      <c r="CW256" s="112"/>
      <c r="CX256" s="55"/>
      <c r="CY256" s="55"/>
      <c r="CZ256" s="55"/>
      <c r="DA256" s="113"/>
      <c r="DB256" s="114"/>
      <c r="DC256" s="53"/>
      <c r="DD256" s="53"/>
      <c r="DE256" s="68"/>
      <c r="DF256" s="68"/>
      <c r="DG256" s="115"/>
      <c r="DH256" s="69"/>
      <c r="DI256" s="26"/>
      <c r="DJ256" s="47"/>
      <c r="DK256" s="26"/>
      <c r="DL256" s="26"/>
      <c r="DM256" s="54"/>
      <c r="DN256" s="26"/>
      <c r="DO256" s="26"/>
      <c r="DP256" s="26"/>
      <c r="DQ256" s="26"/>
      <c r="DR256" s="26"/>
      <c r="DS256" s="26"/>
      <c r="DT256" s="26"/>
      <c r="DU256" s="55"/>
      <c r="DV256" s="117"/>
      <c r="DW256" s="117"/>
      <c r="DX256" s="118"/>
      <c r="DY256" s="114"/>
      <c r="DZ256" s="66"/>
      <c r="EA256" s="65"/>
      <c r="EB256" s="64"/>
      <c r="EC256" s="54"/>
      <c r="ED256" s="54"/>
      <c r="EE256" s="102"/>
      <c r="EF256" s="102"/>
      <c r="EG256" s="107"/>
      <c r="EH256" s="102"/>
      <c r="EI256" s="107"/>
      <c r="EJ256" s="107"/>
      <c r="EK256" s="127"/>
      <c r="EL256" s="55"/>
      <c r="EM256" s="55"/>
      <c r="EN256" s="131"/>
      <c r="EO256" s="131"/>
      <c r="EP256" s="132"/>
      <c r="EQ256" s="125"/>
      <c r="ER256" s="67"/>
      <c r="ES256" s="71"/>
      <c r="ET256" s="71"/>
      <c r="EU256" s="66"/>
      <c r="EV256" s="70"/>
      <c r="EW256" s="26"/>
      <c r="EX256" s="26"/>
      <c r="EY256" s="26"/>
      <c r="EZ256" s="26"/>
      <c r="FA256" s="26"/>
      <c r="FB256" s="26"/>
      <c r="FC256" s="26"/>
      <c r="FD256" s="26"/>
      <c r="FE256" s="26"/>
      <c r="FF256" s="26"/>
      <c r="FG256" s="26"/>
      <c r="FH256" s="26"/>
      <c r="FI256" s="26"/>
      <c r="FJ256" s="126"/>
      <c r="FK256" s="112"/>
      <c r="FL256" s="112"/>
      <c r="FM256" s="55"/>
      <c r="FN256" s="55"/>
      <c r="FO256" s="59">
        <v>266.52999999999997</v>
      </c>
      <c r="FP256" s="59">
        <v>273.74</v>
      </c>
      <c r="FQ256" s="59"/>
      <c r="FR256" s="59">
        <v>266.52999999999997</v>
      </c>
      <c r="FS256" s="59">
        <v>273.74</v>
      </c>
      <c r="FT256" s="59"/>
      <c r="FU256" s="225" t="s">
        <v>627</v>
      </c>
      <c r="FV256" s="64"/>
      <c r="FW256" s="64"/>
      <c r="FX256" s="64"/>
      <c r="FY256" s="64"/>
      <c r="FZ256" s="64"/>
      <c r="GA256" s="64"/>
      <c r="GB256" s="64"/>
      <c r="GC256" s="226"/>
      <c r="GD256" s="226"/>
      <c r="GE256" s="64"/>
      <c r="GF256" s="162"/>
      <c r="GG256" s="64"/>
      <c r="GH256" s="64"/>
      <c r="GI256" s="64"/>
      <c r="GJ256" s="162"/>
      <c r="GK256" s="64"/>
      <c r="GL256" s="64"/>
      <c r="GM256" s="64"/>
      <c r="GN256" s="64"/>
      <c r="GO256" s="227">
        <v>273.74</v>
      </c>
      <c r="GP256" s="227">
        <v>539.78</v>
      </c>
      <c r="GQ256" s="227"/>
      <c r="GR256" s="227">
        <v>273.74</v>
      </c>
      <c r="GS256" s="227">
        <v>539.78</v>
      </c>
      <c r="GT256" s="227"/>
      <c r="GU256" s="225" t="s">
        <v>627</v>
      </c>
      <c r="GV256" s="64"/>
      <c r="GW256" s="64"/>
      <c r="GX256" s="64"/>
      <c r="GY256" s="64"/>
      <c r="GZ256" s="64"/>
      <c r="HA256" s="59">
        <v>539.78</v>
      </c>
      <c r="HB256" s="59">
        <v>539.12</v>
      </c>
      <c r="HC256" s="59"/>
      <c r="HD256" s="59">
        <v>539.78</v>
      </c>
      <c r="HE256" s="59">
        <v>539.12</v>
      </c>
      <c r="HF256" s="60"/>
      <c r="HG256" s="225" t="s">
        <v>627</v>
      </c>
    </row>
    <row r="257" spans="2:215" ht="16.5" thickBot="1">
      <c r="B257" s="7" t="s">
        <v>120</v>
      </c>
      <c r="C257" s="80" t="s">
        <v>394</v>
      </c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>
        <f t="shared" si="927"/>
        <v>0</v>
      </c>
      <c r="Y257" s="80"/>
      <c r="Z257" s="80">
        <f t="shared" si="1040"/>
        <v>0</v>
      </c>
      <c r="AA257" s="80"/>
      <c r="AB257" s="80">
        <f t="shared" si="1041"/>
        <v>0</v>
      </c>
      <c r="AC257" s="80"/>
      <c r="AD257" s="80"/>
      <c r="AE257" s="80">
        <f t="shared" si="1028"/>
        <v>0</v>
      </c>
      <c r="AF257" s="80"/>
      <c r="AG257" s="80">
        <f>+IF(AC257=0,,AF257/AC257*100)</f>
        <v>0</v>
      </c>
      <c r="AH257" s="80"/>
      <c r="AI257" s="80"/>
      <c r="AJ257" s="80">
        <f t="shared" si="1042"/>
        <v>0</v>
      </c>
      <c r="AK257" s="80"/>
      <c r="AL257" s="80">
        <f t="shared" si="1043"/>
        <v>0</v>
      </c>
      <c r="AM257" s="80"/>
      <c r="AN257" s="80">
        <f t="shared" si="1044"/>
        <v>0</v>
      </c>
      <c r="AO257" s="80">
        <f t="shared" si="928"/>
        <v>0</v>
      </c>
      <c r="AP257" s="80">
        <f t="shared" si="1045"/>
        <v>0</v>
      </c>
      <c r="AQ257" s="80"/>
      <c r="AR257" s="80"/>
      <c r="AS257" s="80">
        <f t="shared" si="1062"/>
        <v>0</v>
      </c>
      <c r="AT257" s="80"/>
      <c r="AU257" s="80">
        <f>+IF(AQ257=0,,AT257/AQ257*100)</f>
        <v>0</v>
      </c>
      <c r="AV257" s="77"/>
      <c r="AW257" s="77">
        <f>+CY257/$CY$257*100</f>
        <v>100</v>
      </c>
      <c r="AX257" s="78"/>
      <c r="AY257" s="80">
        <f t="shared" si="1046"/>
        <v>0</v>
      </c>
      <c r="AZ257" s="80"/>
      <c r="BA257" s="80"/>
      <c r="BB257" s="80"/>
      <c r="BC257" s="80"/>
      <c r="BD257" s="80"/>
      <c r="BE257" s="22">
        <f t="shared" si="1047"/>
        <v>0</v>
      </c>
      <c r="BF257" s="80"/>
      <c r="BG257" s="80"/>
      <c r="BH257" s="22">
        <f t="shared" si="1048"/>
        <v>0</v>
      </c>
      <c r="BI257" s="22"/>
      <c r="BJ257" s="40"/>
      <c r="BK257" s="80">
        <f t="shared" si="979"/>
        <v>0</v>
      </c>
      <c r="BL257" s="80">
        <f t="shared" si="1003"/>
        <v>0</v>
      </c>
      <c r="BM257" s="80">
        <f t="shared" si="1004"/>
        <v>0</v>
      </c>
      <c r="BN257" s="80">
        <f t="shared" si="1005"/>
        <v>0</v>
      </c>
      <c r="BO257" s="80">
        <f t="shared" si="980"/>
        <v>0</v>
      </c>
      <c r="BP257" s="80">
        <f t="shared" si="1006"/>
        <v>0</v>
      </c>
      <c r="BQ257" s="80">
        <f t="shared" si="1049"/>
        <v>0</v>
      </c>
      <c r="BR257" s="80">
        <f t="shared" si="1007"/>
        <v>0</v>
      </c>
      <c r="BS257" s="80">
        <f t="shared" si="981"/>
        <v>0</v>
      </c>
      <c r="BT257" s="80">
        <f t="shared" si="1008"/>
        <v>0</v>
      </c>
      <c r="BU257" s="80">
        <f t="shared" si="1050"/>
        <v>0</v>
      </c>
      <c r="BV257" s="80">
        <f t="shared" si="1009"/>
        <v>0</v>
      </c>
      <c r="BW257" s="80"/>
      <c r="BX257" s="48">
        <f>+SUM(BX258:BX269)</f>
        <v>26894.065551949156</v>
      </c>
      <c r="BY257" s="48">
        <f>+SUM(BY258:BY269)</f>
        <v>28263.049728699996</v>
      </c>
      <c r="BZ257" s="80">
        <f>+AC257*R257/1000</f>
        <v>0</v>
      </c>
      <c r="CA257" s="80"/>
      <c r="CB257" s="48">
        <f>+SUM(CB258:CB269)</f>
        <v>30031.467527711862</v>
      </c>
      <c r="CC257" s="48">
        <f>+SUM(CC258:CC269)</f>
        <v>25125.670524799996</v>
      </c>
      <c r="CD257" s="80">
        <f t="shared" si="906"/>
        <v>0</v>
      </c>
      <c r="CE257" s="80">
        <f t="shared" si="952"/>
        <v>0</v>
      </c>
      <c r="CF257" s="80">
        <f t="shared" si="953"/>
        <v>0</v>
      </c>
      <c r="CG257" s="80">
        <f t="shared" si="954"/>
        <v>0</v>
      </c>
      <c r="CH257" s="80">
        <f t="shared" si="955"/>
        <v>0</v>
      </c>
      <c r="CI257" s="80">
        <f t="shared" si="956"/>
        <v>0</v>
      </c>
      <c r="CJ257" s="80">
        <f t="shared" si="957"/>
        <v>0</v>
      </c>
      <c r="CK257" s="80">
        <f t="shared" si="958"/>
        <v>0</v>
      </c>
      <c r="CL257" s="80">
        <f t="shared" si="959"/>
        <v>0</v>
      </c>
      <c r="CM257" s="80">
        <f t="shared" si="960"/>
        <v>0</v>
      </c>
      <c r="CN257" s="80">
        <f t="shared" si="929"/>
        <v>0</v>
      </c>
      <c r="CO257" s="80">
        <f t="shared" si="961"/>
        <v>0</v>
      </c>
      <c r="CP257" s="80">
        <f t="shared" si="962"/>
        <v>0</v>
      </c>
      <c r="CQ257" s="80">
        <f t="shared" si="963"/>
        <v>0</v>
      </c>
      <c r="CR257" s="80">
        <f t="shared" si="964"/>
        <v>0</v>
      </c>
      <c r="CS257" s="80">
        <f t="shared" si="965"/>
        <v>0</v>
      </c>
      <c r="CT257" s="80">
        <f t="shared" si="966"/>
        <v>0</v>
      </c>
      <c r="CU257" s="80">
        <f t="shared" si="930"/>
        <v>0</v>
      </c>
      <c r="CV257" s="80">
        <f t="shared" si="967"/>
        <v>0</v>
      </c>
      <c r="CW257" s="48">
        <f>+SUM(CW258:CW269)</f>
        <v>4215.7010902596612</v>
      </c>
      <c r="CX257" s="48">
        <f>+SUM(CX258:CX269)</f>
        <v>8393.7646205498986</v>
      </c>
      <c r="CY257" s="48">
        <f>+SUM(CY258:CY269)</f>
        <v>28347.999561658617</v>
      </c>
      <c r="CZ257" s="48">
        <f>+SUM(CZ258:CZ269)</f>
        <v>55157.136372200002</v>
      </c>
      <c r="DA257" s="20">
        <f t="shared" si="968"/>
        <v>50.224199519946502</v>
      </c>
      <c r="DB257" s="20">
        <f t="shared" si="969"/>
        <v>51.394980642879098</v>
      </c>
      <c r="DC257" s="20">
        <f t="shared" si="970"/>
        <v>672.43855659397695</v>
      </c>
      <c r="DD257" s="20">
        <f t="shared" si="970"/>
        <v>657.1203609541592</v>
      </c>
      <c r="DE257" s="79">
        <f t="shared" si="1073"/>
        <v>0</v>
      </c>
      <c r="DF257" s="79">
        <f t="shared" si="1073"/>
        <v>0</v>
      </c>
      <c r="DG257" s="79">
        <f t="shared" si="1056"/>
        <v>0</v>
      </c>
      <c r="DH257" s="51">
        <f t="shared" si="972"/>
        <v>0</v>
      </c>
      <c r="DI257" s="39"/>
      <c r="DJ257" s="80">
        <f t="shared" si="973"/>
        <v>0</v>
      </c>
      <c r="DK257" s="39">
        <f t="shared" si="974"/>
        <v>0</v>
      </c>
      <c r="DL257" s="39">
        <f t="shared" si="975"/>
        <v>0</v>
      </c>
      <c r="DM257" s="48">
        <f>+AT257-'[2]тарифы (12-13) население 15%'!AP306</f>
        <v>0</v>
      </c>
      <c r="DN257" s="39"/>
      <c r="DO257" s="39"/>
      <c r="DP257" s="39"/>
      <c r="DQ257" s="39"/>
      <c r="DR257" s="39"/>
      <c r="DS257" s="39"/>
      <c r="DT257" s="39"/>
      <c r="DU257" s="19">
        <f t="shared" si="1051"/>
        <v>0</v>
      </c>
      <c r="DV257" s="42">
        <f>+SUM(DV258:DV269)</f>
        <v>55454.694043626769</v>
      </c>
      <c r="DW257" s="42">
        <f>+SUM(DW258:DW269)</f>
        <v>92033.972221440461</v>
      </c>
      <c r="DX257" s="42">
        <f>+'[1]тарифы (НВВ) население на 4,2%'!CO318</f>
        <v>60.627095634698968</v>
      </c>
      <c r="DY257" s="42">
        <f t="shared" si="1032"/>
        <v>60.254591543868955</v>
      </c>
      <c r="DZ257" s="19">
        <f t="shared" si="1054"/>
        <v>0</v>
      </c>
      <c r="EA257" s="19">
        <f t="shared" si="1055"/>
        <v>0</v>
      </c>
      <c r="EB257" s="19"/>
      <c r="EC257" s="22">
        <f>+SUM(EC258:EC269)</f>
        <v>33316.398961017978</v>
      </c>
      <c r="ED257" s="42">
        <f>+SUM(ED258:ED269)</f>
        <v>31959.232057384077</v>
      </c>
      <c r="EE257" s="80"/>
      <c r="EF257" s="80"/>
      <c r="EG257" s="22">
        <f t="shared" si="1033"/>
        <v>0</v>
      </c>
      <c r="EH257" s="80"/>
      <c r="EI257" s="80"/>
      <c r="EJ257" s="22">
        <f t="shared" si="1034"/>
        <v>0</v>
      </c>
      <c r="EK257" s="40"/>
      <c r="EL257" s="40"/>
      <c r="EM257" s="40"/>
      <c r="EN257" s="146">
        <f>+SUM(EN258:EN269)</f>
        <v>67102.332500762714</v>
      </c>
      <c r="EO257" s="146">
        <f>+SUM(EO258:EO269)</f>
        <v>120057.83362939999</v>
      </c>
      <c r="EP257" s="146" t="e">
        <f>+$EN$442/$EN$445*EN257</f>
        <v>#REF!</v>
      </c>
      <c r="EQ257" s="42">
        <f t="shared" si="1022"/>
        <v>55.89167359782391</v>
      </c>
      <c r="ER257" s="42" t="e">
        <f>+IF((EN257+EP257)=0,,(EN257+EP257)/(EO257+EP257))*100</f>
        <v>#REF!</v>
      </c>
      <c r="ES257" s="42"/>
      <c r="ET257" s="42"/>
      <c r="EU257" s="19">
        <f t="shared" si="1027"/>
        <v>0</v>
      </c>
      <c r="EV257" s="42"/>
      <c r="EW257" s="39"/>
      <c r="EX257" s="39">
        <f t="shared" si="1057"/>
        <v>0</v>
      </c>
      <c r="EY257" s="39">
        <f t="shared" si="951"/>
        <v>0</v>
      </c>
      <c r="EZ257" s="39"/>
      <c r="FA257" s="39"/>
      <c r="FB257" s="39"/>
      <c r="FC257" s="39"/>
      <c r="FD257" s="39"/>
      <c r="FE257" s="39"/>
      <c r="FF257" s="39"/>
      <c r="FG257" s="39"/>
      <c r="FH257" s="39"/>
      <c r="FI257" s="39"/>
      <c r="FJ257" s="41">
        <f>+SUM(FJ259:FJ269)</f>
        <v>52187.129948433896</v>
      </c>
      <c r="FK257" s="41">
        <f>+SUM(FK259:FK269)</f>
        <v>52955.501128637283</v>
      </c>
      <c r="FL257" s="41">
        <f t="shared" si="1025"/>
        <v>105142.63107707119</v>
      </c>
      <c r="FM257" s="40"/>
      <c r="FN257" s="40"/>
      <c r="FO257" s="80">
        <f t="shared" si="1002"/>
        <v>0</v>
      </c>
      <c r="FP257" s="80"/>
      <c r="FQ257" s="22"/>
      <c r="FR257" s="80">
        <f t="shared" si="1011"/>
        <v>0</v>
      </c>
      <c r="FS257" s="80"/>
      <c r="FT257" s="22"/>
      <c r="FU257" s="40"/>
      <c r="FV257" s="41">
        <f t="shared" ref="FV257:GB257" si="1074">+SUM(FV259:FV269)</f>
        <v>0</v>
      </c>
      <c r="FW257" s="41">
        <f t="shared" si="1074"/>
        <v>0</v>
      </c>
      <c r="FX257" s="41">
        <f t="shared" si="1074"/>
        <v>0</v>
      </c>
      <c r="FY257" s="41">
        <f t="shared" si="1074"/>
        <v>0</v>
      </c>
      <c r="FZ257" s="41">
        <f t="shared" si="1074"/>
        <v>0</v>
      </c>
      <c r="GA257" s="41">
        <f t="shared" si="1074"/>
        <v>0</v>
      </c>
      <c r="GB257" s="41">
        <f t="shared" si="1074"/>
        <v>0</v>
      </c>
      <c r="GC257" s="20">
        <f t="shared" si="977"/>
        <v>0</v>
      </c>
      <c r="GD257" s="20">
        <f t="shared" ref="GD257:GD273" si="1075">+IF(GB257=0,,GA257/GB257*100)</f>
        <v>0</v>
      </c>
      <c r="GE257" s="42"/>
      <c r="GF257" s="42"/>
      <c r="GG257" s="42"/>
      <c r="GH257" s="42"/>
      <c r="GI257" s="42"/>
      <c r="GJ257" s="42"/>
      <c r="GK257" s="42"/>
      <c r="GL257" s="42"/>
      <c r="GM257" s="40"/>
      <c r="GN257" s="40"/>
      <c r="GO257" s="80"/>
      <c r="GP257" s="80"/>
      <c r="GQ257" s="22"/>
      <c r="GR257" s="80"/>
      <c r="GS257" s="80"/>
      <c r="GT257" s="22"/>
      <c r="GU257" s="43"/>
      <c r="GV257" s="41"/>
      <c r="GW257" s="41"/>
      <c r="GX257" s="145">
        <f>+SUM(GX258:GX269)</f>
        <v>0</v>
      </c>
      <c r="GY257" s="145">
        <f>+SUM(GY258:GY269)</f>
        <v>0</v>
      </c>
      <c r="GZ257" s="44">
        <f>+IF(GY257=0,,GX257/GY257*100)</f>
        <v>0</v>
      </c>
      <c r="HA257" s="80"/>
      <c r="HB257" s="80"/>
      <c r="HC257" s="22"/>
      <c r="HD257" s="80"/>
      <c r="HE257" s="80"/>
      <c r="HF257" s="22"/>
      <c r="HG257" s="233"/>
    </row>
    <row r="258" spans="2:215" ht="15.75">
      <c r="B258" s="10" t="s">
        <v>395</v>
      </c>
      <c r="C258" s="81" t="s">
        <v>152</v>
      </c>
      <c r="D258" s="73"/>
      <c r="E258" s="73"/>
      <c r="F258" s="74"/>
      <c r="G258" s="74"/>
      <c r="H258" s="74"/>
      <c r="I258" s="73"/>
      <c r="J258" s="74"/>
      <c r="K258" s="74"/>
      <c r="L258" s="74"/>
      <c r="M258" s="143"/>
      <c r="N258" s="191"/>
      <c r="O258" s="74"/>
      <c r="P258" s="74"/>
      <c r="Q258" s="74"/>
      <c r="R258" s="191"/>
      <c r="S258" s="74"/>
      <c r="T258" s="74"/>
      <c r="U258" s="74"/>
      <c r="V258" s="52"/>
      <c r="W258" s="52"/>
      <c r="X258" s="52"/>
      <c r="Y258" s="52"/>
      <c r="Z258" s="22"/>
      <c r="AA258" s="52"/>
      <c r="AB258" s="22"/>
      <c r="AC258" s="52"/>
      <c r="AD258" s="22"/>
      <c r="AE258" s="22"/>
      <c r="AF258" s="22"/>
      <c r="AG258" s="22">
        <f t="shared" si="1029"/>
        <v>0</v>
      </c>
      <c r="AH258" s="52"/>
      <c r="AI258" s="52"/>
      <c r="AJ258" s="52"/>
      <c r="AK258" s="52"/>
      <c r="AL258" s="22"/>
      <c r="AM258" s="52"/>
      <c r="AN258" s="22"/>
      <c r="AO258" s="22"/>
      <c r="AP258" s="22"/>
      <c r="AQ258" s="22"/>
      <c r="AR258" s="22"/>
      <c r="AS258" s="22"/>
      <c r="AT258" s="22"/>
      <c r="AU258" s="22">
        <f t="shared" si="1030"/>
        <v>0</v>
      </c>
      <c r="AV258" s="77"/>
      <c r="AW258" s="77"/>
      <c r="AX258" s="78"/>
      <c r="AY258" s="22">
        <f t="shared" si="1046"/>
        <v>0</v>
      </c>
      <c r="AZ258" s="22"/>
      <c r="BA258" s="22"/>
      <c r="BB258" s="22"/>
      <c r="BC258" s="22"/>
      <c r="BD258" s="22"/>
      <c r="BE258" s="22">
        <f t="shared" si="1047"/>
        <v>0</v>
      </c>
      <c r="BF258" s="22"/>
      <c r="BG258" s="22"/>
      <c r="BH258" s="22">
        <f t="shared" si="1048"/>
        <v>0</v>
      </c>
      <c r="BI258" s="22"/>
      <c r="BJ258" s="40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48"/>
      <c r="CF258" s="48"/>
      <c r="CG258" s="48"/>
      <c r="CH258" s="48"/>
      <c r="CI258" s="48"/>
      <c r="CJ258" s="48"/>
      <c r="CK258" s="48"/>
      <c r="CL258" s="48"/>
      <c r="CM258" s="48"/>
      <c r="CN258" s="48"/>
      <c r="CO258" s="48"/>
      <c r="CP258" s="48"/>
      <c r="CQ258" s="48"/>
      <c r="CR258" s="48"/>
      <c r="CS258" s="48"/>
      <c r="CT258" s="48"/>
      <c r="CU258" s="48"/>
      <c r="CV258" s="48"/>
      <c r="CW258" s="19"/>
      <c r="CX258" s="19"/>
      <c r="CY258" s="19"/>
      <c r="CZ258" s="19"/>
      <c r="DA258" s="21"/>
      <c r="DB258" s="21"/>
      <c r="DC258" s="79"/>
      <c r="DD258" s="79"/>
      <c r="DE258" s="79"/>
      <c r="DF258" s="79"/>
      <c r="DG258" s="79"/>
      <c r="DH258" s="51"/>
      <c r="DI258" s="39"/>
      <c r="DJ258" s="80"/>
      <c r="DK258" s="39"/>
      <c r="DL258" s="39"/>
      <c r="DM258" s="48"/>
      <c r="DN258" s="39"/>
      <c r="DO258" s="39"/>
      <c r="DP258" s="39"/>
      <c r="DQ258" s="39"/>
      <c r="DR258" s="39"/>
      <c r="DS258" s="39"/>
      <c r="DT258" s="39"/>
      <c r="DU258" s="19">
        <f t="shared" si="1051"/>
        <v>0</v>
      </c>
      <c r="DV258" s="40">
        <f t="shared" si="1052"/>
        <v>0</v>
      </c>
      <c r="DW258" s="40">
        <f t="shared" si="1053"/>
        <v>0</v>
      </c>
      <c r="DX258" s="46"/>
      <c r="DY258" s="21">
        <f t="shared" si="1032"/>
        <v>0</v>
      </c>
      <c r="DZ258" s="19">
        <f t="shared" si="1054"/>
        <v>0</v>
      </c>
      <c r="EA258" s="19">
        <f t="shared" si="1055"/>
        <v>0</v>
      </c>
      <c r="EB258" s="19"/>
      <c r="EC258" s="48">
        <f t="shared" ref="EC258:EC267" si="1076">+(BC258-BF258/1.18)*AZ258/2</f>
        <v>0</v>
      </c>
      <c r="ED258" s="48">
        <f t="shared" ref="ED258:ED267" si="1077">+(BD258-BG258/1.18)*AZ258/2</f>
        <v>0</v>
      </c>
      <c r="EE258" s="22"/>
      <c r="EF258" s="22"/>
      <c r="EG258" s="22">
        <f t="shared" si="1033"/>
        <v>0</v>
      </c>
      <c r="EH258" s="22"/>
      <c r="EI258" s="22"/>
      <c r="EJ258" s="22">
        <f t="shared" si="1034"/>
        <v>0</v>
      </c>
      <c r="EK258" s="40"/>
      <c r="EL258" s="19"/>
      <c r="EM258" s="19"/>
      <c r="EN258" s="40">
        <f t="shared" si="1035"/>
        <v>0</v>
      </c>
      <c r="EO258" s="40">
        <f t="shared" si="1024"/>
        <v>0</v>
      </c>
      <c r="EP258" s="40"/>
      <c r="EQ258" s="21">
        <f t="shared" si="1022"/>
        <v>0</v>
      </c>
      <c r="ER258" s="21"/>
      <c r="ES258" s="21">
        <f t="shared" ref="ES258:ES267" si="1078">+EL258*EE258</f>
        <v>0</v>
      </c>
      <c r="ET258" s="21"/>
      <c r="EU258" s="19">
        <f t="shared" si="1027"/>
        <v>0</v>
      </c>
      <c r="EV258" s="21"/>
      <c r="EW258" s="39"/>
      <c r="EX258" s="39">
        <f t="shared" si="1057"/>
        <v>0</v>
      </c>
      <c r="EY258" s="39">
        <f t="shared" ref="EY258:EY286" si="1079">+EF258*AY258</f>
        <v>0</v>
      </c>
      <c r="EZ258" s="39"/>
      <c r="FA258" s="39"/>
      <c r="FB258" s="39"/>
      <c r="FC258" s="39"/>
      <c r="FD258" s="39"/>
      <c r="FE258" s="39"/>
      <c r="FF258" s="39"/>
      <c r="FG258" s="39"/>
      <c r="FH258" s="39"/>
      <c r="FI258" s="39"/>
      <c r="FJ258" s="19">
        <f t="shared" si="1036"/>
        <v>0</v>
      </c>
      <c r="FK258" s="19">
        <f t="shared" si="1037"/>
        <v>0</v>
      </c>
      <c r="FL258" s="19">
        <f t="shared" si="1025"/>
        <v>0</v>
      </c>
      <c r="FM258" s="19"/>
      <c r="FN258" s="19"/>
      <c r="FO258" s="22"/>
      <c r="FP258" s="22"/>
      <c r="FQ258" s="22"/>
      <c r="FR258" s="22"/>
      <c r="FS258" s="22"/>
      <c r="FT258" s="22"/>
      <c r="FU258" s="40"/>
      <c r="FV258" s="19"/>
      <c r="FW258" s="19"/>
      <c r="FX258" s="19"/>
      <c r="FY258" s="19"/>
      <c r="FZ258" s="19"/>
      <c r="GA258" s="19"/>
      <c r="GB258" s="19"/>
      <c r="GC258" s="20"/>
      <c r="GD258" s="20"/>
      <c r="GE258" s="21"/>
      <c r="GF258" s="21"/>
      <c r="GG258" s="21"/>
      <c r="GH258" s="21"/>
      <c r="GI258" s="21"/>
      <c r="GJ258" s="21"/>
      <c r="GK258" s="21"/>
      <c r="GL258" s="21"/>
      <c r="GM258" s="19"/>
      <c r="GN258" s="19"/>
      <c r="GO258" s="22"/>
      <c r="GP258" s="22"/>
      <c r="GQ258" s="22"/>
      <c r="GR258" s="22"/>
      <c r="GS258" s="22"/>
      <c r="GT258" s="22"/>
      <c r="GU258" s="43"/>
      <c r="GV258" s="19"/>
      <c r="GW258" s="19"/>
      <c r="GX258" s="19"/>
      <c r="GY258" s="19"/>
      <c r="GZ258" s="19"/>
      <c r="HA258" s="22"/>
      <c r="HB258" s="22"/>
      <c r="HC258" s="22"/>
      <c r="HD258" s="22"/>
      <c r="HE258" s="22"/>
      <c r="HF258" s="22"/>
      <c r="HG258" s="233"/>
    </row>
    <row r="259" spans="2:215" ht="15.75">
      <c r="B259" s="10"/>
      <c r="C259" s="161" t="s">
        <v>204</v>
      </c>
      <c r="D259" s="73"/>
      <c r="E259" s="73"/>
      <c r="F259" s="74"/>
      <c r="G259" s="74"/>
      <c r="H259" s="74"/>
      <c r="I259" s="73"/>
      <c r="J259" s="74"/>
      <c r="K259" s="74"/>
      <c r="L259" s="74"/>
      <c r="M259" s="143"/>
      <c r="N259" s="191"/>
      <c r="O259" s="74"/>
      <c r="P259" s="74"/>
      <c r="Q259" s="74"/>
      <c r="R259" s="191"/>
      <c r="S259" s="74"/>
      <c r="T259" s="74"/>
      <c r="U259" s="74"/>
      <c r="V259" s="52"/>
      <c r="W259" s="52"/>
      <c r="X259" s="52"/>
      <c r="Y259" s="52"/>
      <c r="Z259" s="22"/>
      <c r="AA259" s="52"/>
      <c r="AB259" s="22"/>
      <c r="AC259" s="52"/>
      <c r="AD259" s="52">
        <v>2523.4</v>
      </c>
      <c r="AE259" s="22">
        <f>+IF(AC259=0,,AF259/AC259*100)</f>
        <v>0</v>
      </c>
      <c r="AF259" s="22">
        <v>2523.4</v>
      </c>
      <c r="AG259" s="22">
        <f t="shared" si="1029"/>
        <v>100</v>
      </c>
      <c r="AH259" s="52"/>
      <c r="AI259" s="52"/>
      <c r="AJ259" s="52"/>
      <c r="AK259" s="52"/>
      <c r="AL259" s="22"/>
      <c r="AM259" s="52"/>
      <c r="AN259" s="22"/>
      <c r="AO259" s="22"/>
      <c r="AP259" s="22"/>
      <c r="AQ259" s="22"/>
      <c r="AR259" s="22">
        <v>2205.0100000000002</v>
      </c>
      <c r="AS259" s="22">
        <f>+IF(AQ259=0,,AT259/AQ259*100)</f>
        <v>0</v>
      </c>
      <c r="AT259" s="22">
        <v>2462.9899999999998</v>
      </c>
      <c r="AU259" s="22">
        <f t="shared" si="1030"/>
        <v>111.69972018267489</v>
      </c>
      <c r="AV259" s="77"/>
      <c r="AW259" s="77"/>
      <c r="AX259" s="78" t="s">
        <v>139</v>
      </c>
      <c r="AY259" s="22">
        <f t="shared" si="1046"/>
        <v>7.6399600000000012</v>
      </c>
      <c r="AZ259" s="22">
        <f>+[8]БПр!$BX$574/1000</f>
        <v>5.2996800000000004</v>
      </c>
      <c r="BA259" s="22">
        <f>+[8]БПр!$BW$572/1000</f>
        <v>2.2163000000000004</v>
      </c>
      <c r="BB259" s="22">
        <f>+[8]БПр!$BY$574/1000</f>
        <v>0.12398000000000002</v>
      </c>
      <c r="BC259" s="22">
        <v>2523.4</v>
      </c>
      <c r="BD259" s="22">
        <v>2629.38</v>
      </c>
      <c r="BE259" s="22">
        <f t="shared" si="1047"/>
        <v>104.19988903859871</v>
      </c>
      <c r="BF259" s="22">
        <v>2462.9899999999998</v>
      </c>
      <c r="BG259" s="22">
        <v>2566.4299999999998</v>
      </c>
      <c r="BH259" s="22">
        <f t="shared" si="1048"/>
        <v>104.19977344609602</v>
      </c>
      <c r="BI259" s="22">
        <f>+BD259-BG259/1.18</f>
        <v>454.43932203389841</v>
      </c>
      <c r="BJ259" s="40" t="s">
        <v>140</v>
      </c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48"/>
      <c r="CF259" s="48"/>
      <c r="CG259" s="48"/>
      <c r="CH259" s="48"/>
      <c r="CI259" s="48"/>
      <c r="CJ259" s="48"/>
      <c r="CK259" s="48"/>
      <c r="CL259" s="48"/>
      <c r="CM259" s="48"/>
      <c r="CN259" s="48"/>
      <c r="CO259" s="48"/>
      <c r="CP259" s="48"/>
      <c r="CQ259" s="48"/>
      <c r="CR259" s="48"/>
      <c r="CS259" s="48"/>
      <c r="CT259" s="48"/>
      <c r="CU259" s="48"/>
      <c r="CV259" s="48"/>
      <c r="CW259" s="19"/>
      <c r="CX259" s="19"/>
      <c r="CY259" s="19"/>
      <c r="CZ259" s="19"/>
      <c r="DA259" s="21"/>
      <c r="DB259" s="21"/>
      <c r="DC259" s="79"/>
      <c r="DD259" s="79"/>
      <c r="DE259" s="79"/>
      <c r="DF259" s="79"/>
      <c r="DG259" s="79"/>
      <c r="DH259" s="51"/>
      <c r="DI259" s="39"/>
      <c r="DJ259" s="80"/>
      <c r="DK259" s="39"/>
      <c r="DL259" s="39"/>
      <c r="DM259" s="48"/>
      <c r="DN259" s="39"/>
      <c r="DO259" s="39"/>
      <c r="DP259" s="39"/>
      <c r="DQ259" s="39"/>
      <c r="DR259" s="39"/>
      <c r="DS259" s="39"/>
      <c r="DT259" s="39"/>
      <c r="DU259" s="19">
        <f t="shared" si="1051"/>
        <v>11061.914273898306</v>
      </c>
      <c r="DV259" s="40">
        <f t="shared" si="1052"/>
        <v>11526.489612203392</v>
      </c>
      <c r="DW259" s="40">
        <f t="shared" si="1053"/>
        <v>13934.872598400001</v>
      </c>
      <c r="DX259" s="21">
        <f>+'[1]тарифы (НВВ) население на 4,2%'!CO320</f>
        <v>62.501081259611226</v>
      </c>
      <c r="DY259" s="21">
        <f t="shared" si="1032"/>
        <v>82.716863974248753</v>
      </c>
      <c r="DZ259" s="19">
        <f t="shared" si="1054"/>
        <v>19.278675064000002</v>
      </c>
      <c r="EA259" s="19">
        <f t="shared" si="1055"/>
        <v>20.088358024800005</v>
      </c>
      <c r="EB259" s="48">
        <v>1859.47</v>
      </c>
      <c r="EC259" s="48">
        <f>+(BC259-BF259/1.18)*AZ259</f>
        <v>2311.2982381016968</v>
      </c>
      <c r="ED259" s="48">
        <f>+(BD259-BG259/1.18)*AZ259</f>
        <v>2408.382986196611</v>
      </c>
      <c r="EE259" s="22">
        <v>2629.38</v>
      </c>
      <c r="EF259" s="22">
        <v>2813.43</v>
      </c>
      <c r="EG259" s="22">
        <f t="shared" si="1033"/>
        <v>106.99974899025624</v>
      </c>
      <c r="EH259" s="22">
        <v>2566.4299999999998</v>
      </c>
      <c r="EI259" s="22">
        <v>2566.4299999999998</v>
      </c>
      <c r="EJ259" s="22">
        <f t="shared" si="1034"/>
        <v>100</v>
      </c>
      <c r="EK259" s="40" t="s">
        <v>141</v>
      </c>
      <c r="EL259" s="19">
        <v>7.4001099999999997</v>
      </c>
      <c r="EM259" s="19">
        <v>5.07721</v>
      </c>
      <c r="EN259" s="40">
        <f t="shared" si="1035"/>
        <v>11042.630559576271</v>
      </c>
      <c r="EO259" s="40">
        <f t="shared" si="1024"/>
        <v>14284.374930299999</v>
      </c>
      <c r="EP259" s="40"/>
      <c r="EQ259" s="21">
        <f t="shared" si="1022"/>
        <v>77.305661699992598</v>
      </c>
      <c r="ER259" s="21"/>
      <c r="ES259" s="21">
        <f t="shared" si="1078"/>
        <v>19457.701231800002</v>
      </c>
      <c r="ET259" s="21"/>
      <c r="EU259" s="19">
        <f t="shared" si="1027"/>
        <v>20819.691477299999</v>
      </c>
      <c r="EV259" s="21"/>
      <c r="EW259" s="39"/>
      <c r="EX259" s="39">
        <f t="shared" si="1057"/>
        <v>20088.358024800003</v>
      </c>
      <c r="EY259" s="39">
        <f t="shared" si="1079"/>
        <v>21494.492662800003</v>
      </c>
      <c r="EZ259" s="39"/>
      <c r="FA259" s="39"/>
      <c r="FB259" s="39"/>
      <c r="FC259" s="39"/>
      <c r="FD259" s="39"/>
      <c r="FE259" s="39"/>
      <c r="FF259" s="39"/>
      <c r="FG259" s="39"/>
      <c r="FH259" s="39"/>
      <c r="FI259" s="39"/>
      <c r="FJ259" s="19">
        <f t="shared" si="1036"/>
        <v>2307.2838702237295</v>
      </c>
      <c r="FK259" s="19">
        <f t="shared" si="1037"/>
        <v>3241.744370723728</v>
      </c>
      <c r="FL259" s="19">
        <f t="shared" si="1025"/>
        <v>5549.0282409474576</v>
      </c>
      <c r="FM259" s="19">
        <v>6.2569999999999997</v>
      </c>
      <c r="FN259" s="19">
        <v>4.3019999999999996</v>
      </c>
      <c r="FO259" s="22">
        <v>3013.12</v>
      </c>
      <c r="FP259" s="22">
        <v>3083.47</v>
      </c>
      <c r="FQ259" s="22"/>
      <c r="FR259" s="22">
        <v>2714.46</v>
      </c>
      <c r="FS259" s="22">
        <v>2714.46</v>
      </c>
      <c r="FT259" s="22"/>
      <c r="FU259" s="40" t="s">
        <v>624</v>
      </c>
      <c r="FV259" s="19"/>
      <c r="FW259" s="19"/>
      <c r="FX259" s="19"/>
      <c r="FY259" s="19"/>
      <c r="FZ259" s="19"/>
      <c r="GA259" s="19"/>
      <c r="GB259" s="19"/>
      <c r="GC259" s="20"/>
      <c r="GD259" s="20"/>
      <c r="GE259" s="21"/>
      <c r="GF259" s="21"/>
      <c r="GG259" s="21"/>
      <c r="GH259" s="21"/>
      <c r="GI259" s="21"/>
      <c r="GJ259" s="21"/>
      <c r="GK259" s="21"/>
      <c r="GL259" s="21"/>
      <c r="GM259" s="19"/>
      <c r="GN259" s="19"/>
      <c r="GO259" s="22">
        <v>3083.47</v>
      </c>
      <c r="GP259" s="22">
        <v>3217.34</v>
      </c>
      <c r="GQ259" s="22"/>
      <c r="GR259" s="22">
        <v>2714.46</v>
      </c>
      <c r="GS259" s="22">
        <v>2817.61</v>
      </c>
      <c r="GT259" s="22"/>
      <c r="GU259" s="40" t="s">
        <v>624</v>
      </c>
      <c r="GV259" s="19"/>
      <c r="GW259" s="19"/>
      <c r="GX259" s="19"/>
      <c r="GY259" s="19"/>
      <c r="GZ259" s="23"/>
      <c r="HA259" s="22">
        <v>3217.34</v>
      </c>
      <c r="HB259" s="22">
        <v>3305.42</v>
      </c>
      <c r="HC259" s="22"/>
      <c r="HD259" s="22">
        <v>2817.61</v>
      </c>
      <c r="HE259" s="22">
        <v>2930.31</v>
      </c>
      <c r="HF259" s="22"/>
      <c r="HG259" s="236" t="s">
        <v>624</v>
      </c>
    </row>
    <row r="260" spans="2:215" ht="15.75">
      <c r="B260" s="10"/>
      <c r="C260" s="184" t="s">
        <v>300</v>
      </c>
      <c r="D260" s="73"/>
      <c r="E260" s="73"/>
      <c r="F260" s="74"/>
      <c r="G260" s="74"/>
      <c r="H260" s="74"/>
      <c r="I260" s="73"/>
      <c r="J260" s="74"/>
      <c r="K260" s="74"/>
      <c r="L260" s="74"/>
      <c r="M260" s="143"/>
      <c r="N260" s="191"/>
      <c r="O260" s="74"/>
      <c r="P260" s="74"/>
      <c r="Q260" s="74"/>
      <c r="R260" s="191"/>
      <c r="S260" s="74"/>
      <c r="T260" s="74"/>
      <c r="U260" s="74"/>
      <c r="V260" s="52"/>
      <c r="W260" s="52"/>
      <c r="X260" s="52"/>
      <c r="Y260" s="52"/>
      <c r="Z260" s="22"/>
      <c r="AA260" s="52"/>
      <c r="AB260" s="22"/>
      <c r="AC260" s="52"/>
      <c r="AD260" s="52">
        <v>232.28</v>
      </c>
      <c r="AE260" s="22">
        <f>+IF(AC260=0,,AF260/AC260*100)</f>
        <v>0</v>
      </c>
      <c r="AF260" s="22">
        <v>232.28</v>
      </c>
      <c r="AG260" s="22">
        <f t="shared" si="1029"/>
        <v>100</v>
      </c>
      <c r="AH260" s="52"/>
      <c r="AI260" s="52"/>
      <c r="AJ260" s="52"/>
      <c r="AK260" s="52"/>
      <c r="AL260" s="22"/>
      <c r="AM260" s="52"/>
      <c r="AN260" s="22"/>
      <c r="AO260" s="22"/>
      <c r="AP260" s="22"/>
      <c r="AQ260" s="22"/>
      <c r="AR260" s="22">
        <v>175.24</v>
      </c>
      <c r="AS260" s="22">
        <f>+IF(AQ260=0,,AT260/AQ260*100)</f>
        <v>0</v>
      </c>
      <c r="AT260" s="22">
        <v>195.42</v>
      </c>
      <c r="AU260" s="22">
        <f t="shared" si="1030"/>
        <v>111.51563569961193</v>
      </c>
      <c r="AV260" s="77"/>
      <c r="AW260" s="77"/>
      <c r="AX260" s="78" t="s">
        <v>156</v>
      </c>
      <c r="AY260" s="22">
        <f t="shared" si="1046"/>
        <v>0</v>
      </c>
      <c r="AZ260" s="22"/>
      <c r="BA260" s="22"/>
      <c r="BB260" s="22"/>
      <c r="BC260" s="22"/>
      <c r="BD260" s="22"/>
      <c r="BE260" s="22">
        <f t="shared" si="1047"/>
        <v>0</v>
      </c>
      <c r="BF260" s="22">
        <v>195.42</v>
      </c>
      <c r="BG260" s="22">
        <v>203.62</v>
      </c>
      <c r="BH260" s="22">
        <f t="shared" si="1048"/>
        <v>104.19609047180434</v>
      </c>
      <c r="BI260" s="22"/>
      <c r="BJ260" s="40" t="s">
        <v>157</v>
      </c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48"/>
      <c r="CF260" s="48"/>
      <c r="CG260" s="48"/>
      <c r="CH260" s="48"/>
      <c r="CI260" s="48"/>
      <c r="CJ260" s="48"/>
      <c r="CK260" s="48"/>
      <c r="CL260" s="48"/>
      <c r="CM260" s="48"/>
      <c r="CN260" s="48"/>
      <c r="CO260" s="48"/>
      <c r="CP260" s="48"/>
      <c r="CQ260" s="48"/>
      <c r="CR260" s="48"/>
      <c r="CS260" s="48"/>
      <c r="CT260" s="48"/>
      <c r="CU260" s="48"/>
      <c r="CV260" s="48"/>
      <c r="CW260" s="19"/>
      <c r="CX260" s="19"/>
      <c r="CY260" s="19"/>
      <c r="CZ260" s="19"/>
      <c r="DA260" s="21"/>
      <c r="DB260" s="21"/>
      <c r="DC260" s="79"/>
      <c r="DD260" s="79"/>
      <c r="DE260" s="79"/>
      <c r="DF260" s="79"/>
      <c r="DG260" s="79"/>
      <c r="DH260" s="51"/>
      <c r="DI260" s="39"/>
      <c r="DJ260" s="80"/>
      <c r="DK260" s="39"/>
      <c r="DL260" s="39"/>
      <c r="DM260" s="48"/>
      <c r="DN260" s="39"/>
      <c r="DO260" s="39"/>
      <c r="DP260" s="39"/>
      <c r="DQ260" s="39"/>
      <c r="DR260" s="39"/>
      <c r="DS260" s="39"/>
      <c r="DT260" s="39"/>
      <c r="DU260" s="19">
        <f t="shared" si="1051"/>
        <v>0</v>
      </c>
      <c r="DV260" s="40">
        <f>+'[1]тарифы (НВВ) население на 4,2%'!CL322*1.042</f>
        <v>2262.4142405714574</v>
      </c>
      <c r="DW260" s="40">
        <f>+'[1]тарифы (НВВ) население на 4,2%'!CM322*1.042</f>
        <v>3384.2961375104401</v>
      </c>
      <c r="DX260" s="46"/>
      <c r="DY260" s="21">
        <f t="shared" si="1032"/>
        <v>66.850362635101348</v>
      </c>
      <c r="DZ260" s="19">
        <f t="shared" si="1054"/>
        <v>0</v>
      </c>
      <c r="EA260" s="19">
        <f t="shared" si="1055"/>
        <v>0</v>
      </c>
      <c r="EB260" s="19"/>
      <c r="EC260" s="48">
        <f t="shared" si="1076"/>
        <v>0</v>
      </c>
      <c r="ED260" s="48">
        <f t="shared" si="1077"/>
        <v>0</v>
      </c>
      <c r="EE260" s="22">
        <v>232.52</v>
      </c>
      <c r="EF260" s="22">
        <v>248.27</v>
      </c>
      <c r="EG260" s="22">
        <f t="shared" si="1033"/>
        <v>106.77361087218304</v>
      </c>
      <c r="EH260" s="22">
        <v>203.62</v>
      </c>
      <c r="EI260" s="22">
        <v>220.82</v>
      </c>
      <c r="EJ260" s="22">
        <f t="shared" si="1034"/>
        <v>108.44710735684117</v>
      </c>
      <c r="EK260" s="40" t="s">
        <v>158</v>
      </c>
      <c r="EL260" s="19">
        <v>2.3513299999999999</v>
      </c>
      <c r="EM260" s="19">
        <v>2.3513299999999999</v>
      </c>
      <c r="EN260" s="40">
        <f t="shared" si="1035"/>
        <v>440.0175344067797</v>
      </c>
      <c r="EO260" s="40">
        <f t="shared" si="1024"/>
        <v>583.76469910000003</v>
      </c>
      <c r="EP260" s="40"/>
      <c r="EQ260" s="21">
        <f t="shared" si="1022"/>
        <v>75.37583808770249</v>
      </c>
      <c r="ER260" s="21"/>
      <c r="ES260" s="21">
        <f t="shared" si="1078"/>
        <v>546.73125159999995</v>
      </c>
      <c r="ET260" s="21"/>
      <c r="EU260" s="19">
        <f t="shared" si="1027"/>
        <v>583.76469910000003</v>
      </c>
      <c r="EV260" s="21"/>
      <c r="EW260" s="39"/>
      <c r="EX260" s="39">
        <f t="shared" si="1057"/>
        <v>0</v>
      </c>
      <c r="EY260" s="39">
        <f t="shared" si="1079"/>
        <v>0</v>
      </c>
      <c r="EZ260" s="39"/>
      <c r="FA260" s="39"/>
      <c r="FB260" s="39"/>
      <c r="FC260" s="39"/>
      <c r="FD260" s="39"/>
      <c r="FE260" s="166"/>
      <c r="FF260" s="166"/>
      <c r="FG260" s="39"/>
      <c r="FH260" s="39"/>
      <c r="FI260" s="39"/>
      <c r="FJ260" s="19">
        <f t="shared" si="1036"/>
        <v>140.98734092203387</v>
      </c>
      <c r="FK260" s="19">
        <f t="shared" si="1037"/>
        <v>143.74716469322036</v>
      </c>
      <c r="FL260" s="19">
        <f t="shared" si="1025"/>
        <v>284.73450561525419</v>
      </c>
      <c r="FM260" s="19">
        <v>2.7898999999999998</v>
      </c>
      <c r="FN260" s="19">
        <v>2.7890000000000001</v>
      </c>
      <c r="FO260" s="22">
        <v>267.60000000000002</v>
      </c>
      <c r="FP260" s="22">
        <v>272.10000000000002</v>
      </c>
      <c r="FQ260" s="22"/>
      <c r="FR260" s="22">
        <v>242.9</v>
      </c>
      <c r="FS260" s="22">
        <v>242.9</v>
      </c>
      <c r="FT260" s="22"/>
      <c r="FU260" s="40" t="s">
        <v>631</v>
      </c>
      <c r="FV260" s="19"/>
      <c r="FW260" s="19"/>
      <c r="FX260" s="19"/>
      <c r="FY260" s="19"/>
      <c r="FZ260" s="19"/>
      <c r="GA260" s="19"/>
      <c r="GB260" s="19"/>
      <c r="GC260" s="20"/>
      <c r="GD260" s="20"/>
      <c r="GE260" s="21"/>
      <c r="GF260" s="21"/>
      <c r="GG260" s="21"/>
      <c r="GH260" s="21"/>
      <c r="GI260" s="21"/>
      <c r="GJ260" s="21"/>
      <c r="GK260" s="21"/>
      <c r="GL260" s="21"/>
      <c r="GM260" s="19"/>
      <c r="GN260" s="19"/>
      <c r="GO260" s="22">
        <v>272.10000000000002</v>
      </c>
      <c r="GP260" s="22">
        <v>282.44</v>
      </c>
      <c r="GQ260" s="22"/>
      <c r="GR260" s="22">
        <v>242.9</v>
      </c>
      <c r="GS260" s="22">
        <v>252.13</v>
      </c>
      <c r="GT260" s="22"/>
      <c r="GU260" s="40" t="s">
        <v>631</v>
      </c>
      <c r="GV260" s="19"/>
      <c r="GW260" s="19"/>
      <c r="GX260" s="19"/>
      <c r="GY260" s="19"/>
      <c r="GZ260" s="23"/>
      <c r="HA260" s="22">
        <v>282.44</v>
      </c>
      <c r="HB260" s="22">
        <v>293.74</v>
      </c>
      <c r="HC260" s="22"/>
      <c r="HD260" s="22">
        <v>252.13</v>
      </c>
      <c r="HE260" s="22">
        <v>262.22000000000003</v>
      </c>
      <c r="HF260" s="22"/>
      <c r="HG260" s="236" t="s">
        <v>631</v>
      </c>
    </row>
    <row r="261" spans="2:215" ht="15.75">
      <c r="B261" s="10"/>
      <c r="C261" s="174" t="s">
        <v>396</v>
      </c>
      <c r="D261" s="73"/>
      <c r="E261" s="73"/>
      <c r="F261" s="74"/>
      <c r="G261" s="74"/>
      <c r="H261" s="74"/>
      <c r="I261" s="73"/>
      <c r="J261" s="74"/>
      <c r="K261" s="74"/>
      <c r="L261" s="74"/>
      <c r="M261" s="143"/>
      <c r="N261" s="191"/>
      <c r="O261" s="74"/>
      <c r="P261" s="74"/>
      <c r="Q261" s="74"/>
      <c r="R261" s="191"/>
      <c r="S261" s="74"/>
      <c r="T261" s="74"/>
      <c r="U261" s="74"/>
      <c r="V261" s="52"/>
      <c r="W261" s="52"/>
      <c r="X261" s="52"/>
      <c r="Y261" s="52"/>
      <c r="Z261" s="22"/>
      <c r="AA261" s="52"/>
      <c r="AB261" s="22"/>
      <c r="AC261" s="52"/>
      <c r="AD261" s="22"/>
      <c r="AE261" s="22"/>
      <c r="AF261" s="22"/>
      <c r="AG261" s="22"/>
      <c r="AH261" s="52"/>
      <c r="AI261" s="52"/>
      <c r="AJ261" s="52"/>
      <c r="AK261" s="52"/>
      <c r="AL261" s="22"/>
      <c r="AM261" s="52"/>
      <c r="AN261" s="22"/>
      <c r="AO261" s="22"/>
      <c r="AP261" s="22"/>
      <c r="AQ261" s="22"/>
      <c r="AR261" s="22"/>
      <c r="AS261" s="22"/>
      <c r="AT261" s="22"/>
      <c r="AU261" s="22"/>
      <c r="AV261" s="77"/>
      <c r="AW261" s="77"/>
      <c r="AX261" s="78"/>
      <c r="AY261" s="22"/>
      <c r="AZ261" s="22"/>
      <c r="BA261" s="22"/>
      <c r="BB261" s="22"/>
      <c r="BC261" s="22"/>
      <c r="BD261" s="22"/>
      <c r="BE261" s="22"/>
      <c r="BF261" s="22"/>
      <c r="BG261" s="22"/>
      <c r="BH261" s="22"/>
      <c r="BI261" s="22"/>
      <c r="BJ261" s="40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48"/>
      <c r="CF261" s="48"/>
      <c r="CG261" s="48"/>
      <c r="CH261" s="48"/>
      <c r="CI261" s="48"/>
      <c r="CJ261" s="48"/>
      <c r="CK261" s="48"/>
      <c r="CL261" s="48"/>
      <c r="CM261" s="48"/>
      <c r="CN261" s="48"/>
      <c r="CO261" s="48"/>
      <c r="CP261" s="48"/>
      <c r="CQ261" s="48"/>
      <c r="CR261" s="48"/>
      <c r="CS261" s="48"/>
      <c r="CT261" s="48"/>
      <c r="CU261" s="48"/>
      <c r="CV261" s="48"/>
      <c r="CW261" s="19"/>
      <c r="CX261" s="19"/>
      <c r="CY261" s="19"/>
      <c r="CZ261" s="19"/>
      <c r="DA261" s="21"/>
      <c r="DB261" s="21"/>
      <c r="DC261" s="79"/>
      <c r="DD261" s="79"/>
      <c r="DE261" s="79"/>
      <c r="DF261" s="79"/>
      <c r="DG261" s="79"/>
      <c r="DH261" s="51"/>
      <c r="DI261" s="39"/>
      <c r="DJ261" s="80"/>
      <c r="DK261" s="39"/>
      <c r="DL261" s="39"/>
      <c r="DM261" s="48"/>
      <c r="DN261" s="39"/>
      <c r="DO261" s="39"/>
      <c r="DP261" s="39"/>
      <c r="DQ261" s="39"/>
      <c r="DR261" s="39"/>
      <c r="DS261" s="39"/>
      <c r="DT261" s="39"/>
      <c r="DU261" s="19"/>
      <c r="DV261" s="40"/>
      <c r="DW261" s="40"/>
      <c r="DX261" s="46"/>
      <c r="DY261" s="21"/>
      <c r="DZ261" s="19"/>
      <c r="EA261" s="19"/>
      <c r="EB261" s="19"/>
      <c r="EC261" s="48"/>
      <c r="ED261" s="48"/>
      <c r="EE261" s="22"/>
      <c r="EF261" s="22"/>
      <c r="EG261" s="22">
        <f t="shared" si="1033"/>
        <v>0</v>
      </c>
      <c r="EH261" s="22"/>
      <c r="EI261" s="22"/>
      <c r="EJ261" s="22">
        <f t="shared" si="1034"/>
        <v>0</v>
      </c>
      <c r="EK261" s="40"/>
      <c r="EL261" s="19"/>
      <c r="EM261" s="19"/>
      <c r="EN261" s="40">
        <f t="shared" si="1035"/>
        <v>0</v>
      </c>
      <c r="EO261" s="40">
        <f t="shared" si="1024"/>
        <v>0</v>
      </c>
      <c r="EP261" s="40"/>
      <c r="EQ261" s="21">
        <f t="shared" si="1022"/>
        <v>0</v>
      </c>
      <c r="ER261" s="21"/>
      <c r="ES261" s="21">
        <f t="shared" si="1078"/>
        <v>0</v>
      </c>
      <c r="ET261" s="21"/>
      <c r="EU261" s="19">
        <f t="shared" si="1027"/>
        <v>0</v>
      </c>
      <c r="EV261" s="21"/>
      <c r="EW261" s="39"/>
      <c r="EX261" s="39">
        <f t="shared" si="1057"/>
        <v>0</v>
      </c>
      <c r="EY261" s="39">
        <f t="shared" si="1079"/>
        <v>0</v>
      </c>
      <c r="EZ261" s="39"/>
      <c r="FA261" s="39"/>
      <c r="FB261" s="39"/>
      <c r="FC261" s="39"/>
      <c r="FD261" s="39"/>
      <c r="FE261" s="39"/>
      <c r="FF261" s="39"/>
      <c r="FG261" s="39"/>
      <c r="FH261" s="39"/>
      <c r="FI261" s="39"/>
      <c r="FJ261" s="19">
        <f t="shared" si="1036"/>
        <v>0</v>
      </c>
      <c r="FK261" s="19">
        <f t="shared" si="1037"/>
        <v>0</v>
      </c>
      <c r="FL261" s="19">
        <f t="shared" si="1025"/>
        <v>0</v>
      </c>
      <c r="FM261" s="19"/>
      <c r="FN261" s="19"/>
      <c r="FO261" s="22"/>
      <c r="FP261" s="22"/>
      <c r="FQ261" s="22"/>
      <c r="FR261" s="22"/>
      <c r="FS261" s="22"/>
      <c r="FT261" s="22"/>
      <c r="FU261" s="40"/>
      <c r="FV261" s="19"/>
      <c r="FW261" s="19"/>
      <c r="FX261" s="19"/>
      <c r="FY261" s="19"/>
      <c r="FZ261" s="19"/>
      <c r="GA261" s="19"/>
      <c r="GB261" s="19"/>
      <c r="GC261" s="20"/>
      <c r="GD261" s="20"/>
      <c r="GE261" s="21"/>
      <c r="GF261" s="21"/>
      <c r="GG261" s="21"/>
      <c r="GH261" s="21"/>
      <c r="GI261" s="21"/>
      <c r="GJ261" s="21"/>
      <c r="GK261" s="21"/>
      <c r="GL261" s="21"/>
      <c r="GM261" s="19"/>
      <c r="GN261" s="19"/>
      <c r="GO261" s="22"/>
      <c r="GP261" s="22"/>
      <c r="GQ261" s="22"/>
      <c r="GR261" s="22"/>
      <c r="GS261" s="22"/>
      <c r="GT261" s="22"/>
      <c r="GU261" s="43"/>
      <c r="GV261" s="19"/>
      <c r="GW261" s="19"/>
      <c r="GX261" s="19"/>
      <c r="GY261" s="19"/>
      <c r="GZ261" s="23"/>
      <c r="HA261" s="22"/>
      <c r="HB261" s="22"/>
      <c r="HC261" s="22"/>
      <c r="HD261" s="22"/>
      <c r="HE261" s="22"/>
      <c r="HF261" s="22"/>
      <c r="HG261" s="233"/>
    </row>
    <row r="262" spans="2:215" ht="15.75">
      <c r="B262" s="10"/>
      <c r="C262" s="184" t="s">
        <v>205</v>
      </c>
      <c r="D262" s="73"/>
      <c r="E262" s="73"/>
      <c r="F262" s="74"/>
      <c r="G262" s="74"/>
      <c r="H262" s="74"/>
      <c r="I262" s="73"/>
      <c r="J262" s="74"/>
      <c r="K262" s="74"/>
      <c r="L262" s="74"/>
      <c r="M262" s="143"/>
      <c r="N262" s="191"/>
      <c r="O262" s="74"/>
      <c r="P262" s="74"/>
      <c r="Q262" s="74"/>
      <c r="R262" s="191"/>
      <c r="S262" s="74"/>
      <c r="T262" s="74"/>
      <c r="U262" s="74"/>
      <c r="V262" s="52"/>
      <c r="W262" s="52"/>
      <c r="X262" s="52"/>
      <c r="Y262" s="52"/>
      <c r="Z262" s="22"/>
      <c r="AA262" s="52"/>
      <c r="AB262" s="22"/>
      <c r="AC262" s="52"/>
      <c r="AD262" s="22"/>
      <c r="AE262" s="22"/>
      <c r="AF262" s="22"/>
      <c r="AG262" s="22"/>
      <c r="AH262" s="52"/>
      <c r="AI262" s="52"/>
      <c r="AJ262" s="52"/>
      <c r="AK262" s="52"/>
      <c r="AL262" s="22"/>
      <c r="AM262" s="52"/>
      <c r="AN262" s="22"/>
      <c r="AO262" s="22"/>
      <c r="AP262" s="22"/>
      <c r="AQ262" s="22"/>
      <c r="AR262" s="22"/>
      <c r="AS262" s="22"/>
      <c r="AT262" s="22"/>
      <c r="AU262" s="22"/>
      <c r="AV262" s="77"/>
      <c r="AW262" s="77"/>
      <c r="AX262" s="78"/>
      <c r="AY262" s="22"/>
      <c r="AZ262" s="22"/>
      <c r="BA262" s="22"/>
      <c r="BB262" s="22"/>
      <c r="BC262" s="22"/>
      <c r="BD262" s="22"/>
      <c r="BE262" s="22"/>
      <c r="BF262" s="22"/>
      <c r="BG262" s="22"/>
      <c r="BH262" s="22"/>
      <c r="BI262" s="22"/>
      <c r="BJ262" s="40"/>
      <c r="BK262" s="19"/>
      <c r="BL262" s="19"/>
      <c r="BM262" s="19"/>
      <c r="BN262" s="19"/>
      <c r="BO262" s="19"/>
      <c r="BP262" s="19"/>
      <c r="BQ262" s="19"/>
      <c r="BR262" s="19"/>
      <c r="BS262" s="19"/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48"/>
      <c r="CF262" s="48"/>
      <c r="CG262" s="48"/>
      <c r="CH262" s="48"/>
      <c r="CI262" s="48"/>
      <c r="CJ262" s="48"/>
      <c r="CK262" s="48"/>
      <c r="CL262" s="48"/>
      <c r="CM262" s="48"/>
      <c r="CN262" s="48"/>
      <c r="CO262" s="48"/>
      <c r="CP262" s="48"/>
      <c r="CQ262" s="48"/>
      <c r="CR262" s="48"/>
      <c r="CS262" s="48"/>
      <c r="CT262" s="48"/>
      <c r="CU262" s="48"/>
      <c r="CV262" s="48"/>
      <c r="CW262" s="19"/>
      <c r="CX262" s="19"/>
      <c r="CY262" s="19"/>
      <c r="CZ262" s="19"/>
      <c r="DA262" s="21"/>
      <c r="DB262" s="21"/>
      <c r="DC262" s="79"/>
      <c r="DD262" s="79"/>
      <c r="DE262" s="79"/>
      <c r="DF262" s="79"/>
      <c r="DG262" s="79"/>
      <c r="DH262" s="51"/>
      <c r="DI262" s="39"/>
      <c r="DJ262" s="80"/>
      <c r="DK262" s="39"/>
      <c r="DL262" s="39"/>
      <c r="DM262" s="48"/>
      <c r="DN262" s="39"/>
      <c r="DO262" s="39"/>
      <c r="DP262" s="39"/>
      <c r="DQ262" s="39"/>
      <c r="DR262" s="39"/>
      <c r="DS262" s="39"/>
      <c r="DT262" s="39"/>
      <c r="DU262" s="19"/>
      <c r="DV262" s="40"/>
      <c r="DW262" s="40"/>
      <c r="DX262" s="46"/>
      <c r="DY262" s="21"/>
      <c r="DZ262" s="19"/>
      <c r="EA262" s="19"/>
      <c r="EB262" s="19"/>
      <c r="EC262" s="48"/>
      <c r="ED262" s="48"/>
      <c r="EE262" s="22">
        <v>63.72</v>
      </c>
      <c r="EF262" s="22">
        <v>67.540000000000006</v>
      </c>
      <c r="EG262" s="22">
        <f t="shared" si="1033"/>
        <v>105.99497802887635</v>
      </c>
      <c r="EH262" s="22">
        <v>27.58</v>
      </c>
      <c r="EI262" s="22">
        <v>29.91</v>
      </c>
      <c r="EJ262" s="22">
        <f t="shared" si="1034"/>
        <v>108.44815083393765</v>
      </c>
      <c r="EK262" s="240" t="s">
        <v>397</v>
      </c>
      <c r="EL262" s="19">
        <v>368.23</v>
      </c>
      <c r="EM262" s="19">
        <v>218.42</v>
      </c>
      <c r="EN262" s="40">
        <f t="shared" si="1035"/>
        <v>5536.3916949152544</v>
      </c>
      <c r="EO262" s="40">
        <f t="shared" si="1024"/>
        <v>14752.086800000001</v>
      </c>
      <c r="EP262" s="40"/>
      <c r="EQ262" s="21">
        <f t="shared" si="1022"/>
        <v>37.529549344268055</v>
      </c>
      <c r="ER262" s="21"/>
      <c r="ES262" s="21">
        <f t="shared" si="1078"/>
        <v>23463.615600000001</v>
      </c>
      <c r="ET262" s="21"/>
      <c r="EU262" s="19">
        <f t="shared" si="1027"/>
        <v>24870.254200000003</v>
      </c>
      <c r="EV262" s="21"/>
      <c r="EW262" s="39"/>
      <c r="EX262" s="39">
        <f t="shared" si="1057"/>
        <v>0</v>
      </c>
      <c r="EY262" s="39">
        <f t="shared" si="1079"/>
        <v>0</v>
      </c>
      <c r="EZ262" s="39"/>
      <c r="FA262" s="39"/>
      <c r="FB262" s="39"/>
      <c r="FC262" s="39"/>
      <c r="FD262" s="39"/>
      <c r="FE262" s="166"/>
      <c r="FF262" s="166"/>
      <c r="FG262" s="39"/>
      <c r="FH262" s="39"/>
      <c r="FI262" s="39"/>
      <c r="FJ262" s="19">
        <f t="shared" si="1036"/>
        <v>8812.6176542372868</v>
      </c>
      <c r="FK262" s="19">
        <f t="shared" si="1037"/>
        <v>9215.6951050847474</v>
      </c>
      <c r="FL262" s="19">
        <f t="shared" si="1025"/>
        <v>18028.312759322034</v>
      </c>
      <c r="FM262" s="19">
        <v>368.22899999999998</v>
      </c>
      <c r="FN262" s="19">
        <v>218.41800000000001</v>
      </c>
      <c r="FO262" s="22">
        <v>75.02</v>
      </c>
      <c r="FP262" s="22">
        <v>75.02</v>
      </c>
      <c r="FQ262" s="22"/>
      <c r="FR262" s="22">
        <v>42.04</v>
      </c>
      <c r="FS262" s="22">
        <v>42.04</v>
      </c>
      <c r="FT262" s="22"/>
      <c r="FU262" s="240" t="s">
        <v>686</v>
      </c>
      <c r="FV262" s="19"/>
      <c r="FW262" s="19"/>
      <c r="FX262" s="19"/>
      <c r="FY262" s="19"/>
      <c r="FZ262" s="19"/>
      <c r="GA262" s="19"/>
      <c r="GB262" s="19"/>
      <c r="GC262" s="20"/>
      <c r="GD262" s="20"/>
      <c r="GE262" s="21"/>
      <c r="GF262" s="21"/>
      <c r="GG262" s="21"/>
      <c r="GH262" s="21"/>
      <c r="GI262" s="21"/>
      <c r="GJ262" s="21"/>
      <c r="GK262" s="21"/>
      <c r="GL262" s="21"/>
      <c r="GM262" s="19"/>
      <c r="GN262" s="19"/>
      <c r="GO262" s="22">
        <v>75.02</v>
      </c>
      <c r="GP262" s="22">
        <v>77.37</v>
      </c>
      <c r="GQ262" s="22"/>
      <c r="GR262" s="22">
        <v>42.04</v>
      </c>
      <c r="GS262" s="22">
        <v>43.72</v>
      </c>
      <c r="GT262" s="22"/>
      <c r="GU262" s="240" t="s">
        <v>686</v>
      </c>
      <c r="GV262" s="19"/>
      <c r="GW262" s="19"/>
      <c r="GX262" s="19"/>
      <c r="GY262" s="19"/>
      <c r="GZ262" s="23"/>
      <c r="HA262" s="22">
        <v>77.37</v>
      </c>
      <c r="HB262" s="22">
        <v>79.47</v>
      </c>
      <c r="HC262" s="22"/>
      <c r="HD262" s="22">
        <v>43.72</v>
      </c>
      <c r="HE262" s="22">
        <v>45.47</v>
      </c>
      <c r="HF262" s="22"/>
      <c r="HG262" s="240" t="s">
        <v>686</v>
      </c>
    </row>
    <row r="263" spans="2:215" ht="15.75">
      <c r="B263" s="10"/>
      <c r="C263" s="184" t="s">
        <v>249</v>
      </c>
      <c r="D263" s="73"/>
      <c r="E263" s="73"/>
      <c r="F263" s="74"/>
      <c r="G263" s="74"/>
      <c r="H263" s="74"/>
      <c r="I263" s="73"/>
      <c r="J263" s="74"/>
      <c r="K263" s="74"/>
      <c r="L263" s="74"/>
      <c r="M263" s="143"/>
      <c r="N263" s="191"/>
      <c r="O263" s="74"/>
      <c r="P263" s="74"/>
      <c r="Q263" s="74"/>
      <c r="R263" s="191"/>
      <c r="S263" s="74"/>
      <c r="T263" s="74"/>
      <c r="U263" s="74"/>
      <c r="V263" s="52"/>
      <c r="W263" s="52"/>
      <c r="X263" s="52"/>
      <c r="Y263" s="52"/>
      <c r="Z263" s="22"/>
      <c r="AA263" s="52"/>
      <c r="AB263" s="22"/>
      <c r="AC263" s="52"/>
      <c r="AD263" s="22"/>
      <c r="AE263" s="22"/>
      <c r="AF263" s="22"/>
      <c r="AG263" s="22"/>
      <c r="AH263" s="52"/>
      <c r="AI263" s="52"/>
      <c r="AJ263" s="52"/>
      <c r="AK263" s="52"/>
      <c r="AL263" s="22"/>
      <c r="AM263" s="52"/>
      <c r="AN263" s="22"/>
      <c r="AO263" s="22"/>
      <c r="AP263" s="22"/>
      <c r="AQ263" s="22"/>
      <c r="AR263" s="22"/>
      <c r="AS263" s="22"/>
      <c r="AT263" s="22"/>
      <c r="AU263" s="22"/>
      <c r="AV263" s="77"/>
      <c r="AW263" s="77"/>
      <c r="AX263" s="78"/>
      <c r="AY263" s="22"/>
      <c r="AZ263" s="22"/>
      <c r="BA263" s="22"/>
      <c r="BB263" s="22"/>
      <c r="BC263" s="22"/>
      <c r="BD263" s="22"/>
      <c r="BE263" s="22"/>
      <c r="BF263" s="22"/>
      <c r="BG263" s="22"/>
      <c r="BH263" s="22"/>
      <c r="BI263" s="22"/>
      <c r="BJ263" s="40"/>
      <c r="BK263" s="19"/>
      <c r="BL263" s="19"/>
      <c r="BM263" s="19"/>
      <c r="BN263" s="19"/>
      <c r="BO263" s="19"/>
      <c r="BP263" s="19"/>
      <c r="BQ263" s="19"/>
      <c r="BR263" s="19"/>
      <c r="BS263" s="19"/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48"/>
      <c r="CF263" s="48"/>
      <c r="CG263" s="48"/>
      <c r="CH263" s="48"/>
      <c r="CI263" s="48"/>
      <c r="CJ263" s="48"/>
      <c r="CK263" s="48"/>
      <c r="CL263" s="48"/>
      <c r="CM263" s="48"/>
      <c r="CN263" s="48"/>
      <c r="CO263" s="48"/>
      <c r="CP263" s="48"/>
      <c r="CQ263" s="48"/>
      <c r="CR263" s="48"/>
      <c r="CS263" s="48"/>
      <c r="CT263" s="48"/>
      <c r="CU263" s="48"/>
      <c r="CV263" s="48"/>
      <c r="CW263" s="19"/>
      <c r="CX263" s="19"/>
      <c r="CY263" s="19"/>
      <c r="CZ263" s="19"/>
      <c r="DA263" s="21"/>
      <c r="DB263" s="21"/>
      <c r="DC263" s="79"/>
      <c r="DD263" s="79"/>
      <c r="DE263" s="79"/>
      <c r="DF263" s="79"/>
      <c r="DG263" s="79"/>
      <c r="DH263" s="51"/>
      <c r="DI263" s="39"/>
      <c r="DJ263" s="80"/>
      <c r="DK263" s="39"/>
      <c r="DL263" s="39"/>
      <c r="DM263" s="48"/>
      <c r="DN263" s="39"/>
      <c r="DO263" s="39"/>
      <c r="DP263" s="39"/>
      <c r="DQ263" s="39"/>
      <c r="DR263" s="39"/>
      <c r="DS263" s="39"/>
      <c r="DT263" s="39"/>
      <c r="DU263" s="19"/>
      <c r="DV263" s="40"/>
      <c r="DW263" s="40"/>
      <c r="DX263" s="46"/>
      <c r="DY263" s="21"/>
      <c r="DZ263" s="19"/>
      <c r="EA263" s="19"/>
      <c r="EB263" s="19"/>
      <c r="EC263" s="48"/>
      <c r="ED263" s="48"/>
      <c r="EE263" s="22">
        <v>61.26</v>
      </c>
      <c r="EF263" s="22">
        <v>64.58</v>
      </c>
      <c r="EG263" s="22">
        <f t="shared" si="1033"/>
        <v>105.41952334312765</v>
      </c>
      <c r="EH263" s="22">
        <v>23.11</v>
      </c>
      <c r="EI263" s="22">
        <v>25.06</v>
      </c>
      <c r="EJ263" s="22">
        <f t="shared" si="1034"/>
        <v>108.43790566854175</v>
      </c>
      <c r="EK263" s="240"/>
      <c r="EL263" s="19">
        <v>239.41</v>
      </c>
      <c r="EM263" s="19">
        <v>163.77000000000001</v>
      </c>
      <c r="EN263" s="40">
        <f t="shared" si="1035"/>
        <v>3478.0306779661023</v>
      </c>
      <c r="EO263" s="40">
        <f t="shared" si="1024"/>
        <v>10576.266600000001</v>
      </c>
      <c r="EP263" s="40"/>
      <c r="EQ263" s="21">
        <f t="shared" si="1022"/>
        <v>32.885240222349374</v>
      </c>
      <c r="ER263" s="21"/>
      <c r="ES263" s="21">
        <f t="shared" si="1078"/>
        <v>14666.256599999999</v>
      </c>
      <c r="ET263" s="21"/>
      <c r="EU263" s="19">
        <f t="shared" si="1027"/>
        <v>15461.0978</v>
      </c>
      <c r="EV263" s="21"/>
      <c r="EW263" s="39"/>
      <c r="EX263" s="39">
        <f t="shared" si="1057"/>
        <v>0</v>
      </c>
      <c r="EY263" s="39">
        <f t="shared" si="1079"/>
        <v>0</v>
      </c>
      <c r="EZ263" s="39"/>
      <c r="FA263" s="39"/>
      <c r="FB263" s="39"/>
      <c r="FC263" s="39"/>
      <c r="FD263" s="39"/>
      <c r="FE263" s="166"/>
      <c r="FF263" s="166"/>
      <c r="FG263" s="39"/>
      <c r="FH263" s="39"/>
      <c r="FI263" s="39"/>
      <c r="FJ263" s="19">
        <f t="shared" si="1036"/>
        <v>6825.1563864406771</v>
      </c>
      <c r="FK263" s="19">
        <f t="shared" si="1037"/>
        <v>7098.2359220338985</v>
      </c>
      <c r="FL263" s="19">
        <f t="shared" si="1025"/>
        <v>13923.392308474577</v>
      </c>
      <c r="FM263" s="19">
        <v>239.41200000000001</v>
      </c>
      <c r="FN263" s="19">
        <v>163.77000000000001</v>
      </c>
      <c r="FO263" s="22">
        <v>73.069999999999993</v>
      </c>
      <c r="FP263" s="22">
        <v>73.069999999999993</v>
      </c>
      <c r="FQ263" s="22"/>
      <c r="FR263" s="22">
        <v>35.24</v>
      </c>
      <c r="FS263" s="22">
        <v>35.24</v>
      </c>
      <c r="FT263" s="22"/>
      <c r="FU263" s="240"/>
      <c r="FV263" s="19"/>
      <c r="FW263" s="19"/>
      <c r="FX263" s="19"/>
      <c r="FY263" s="19"/>
      <c r="FZ263" s="19"/>
      <c r="GA263" s="19"/>
      <c r="GB263" s="19"/>
      <c r="GC263" s="20"/>
      <c r="GD263" s="20"/>
      <c r="GE263" s="21"/>
      <c r="GF263" s="21"/>
      <c r="GG263" s="21"/>
      <c r="GH263" s="21"/>
      <c r="GI263" s="21"/>
      <c r="GJ263" s="21"/>
      <c r="GK263" s="21"/>
      <c r="GL263" s="21"/>
      <c r="GM263" s="19"/>
      <c r="GN263" s="19"/>
      <c r="GO263" s="22">
        <v>73.069999999999993</v>
      </c>
      <c r="GP263" s="22">
        <v>75.37</v>
      </c>
      <c r="GQ263" s="22"/>
      <c r="GR263" s="22">
        <v>35.24</v>
      </c>
      <c r="GS263" s="22">
        <v>36.65</v>
      </c>
      <c r="GT263" s="22"/>
      <c r="GU263" s="240"/>
      <c r="GV263" s="19"/>
      <c r="GW263" s="19"/>
      <c r="GX263" s="19"/>
      <c r="GY263" s="19"/>
      <c r="GZ263" s="23"/>
      <c r="HA263" s="22">
        <v>75.37</v>
      </c>
      <c r="HB263" s="22">
        <v>77.39</v>
      </c>
      <c r="HC263" s="22"/>
      <c r="HD263" s="22">
        <v>36.65</v>
      </c>
      <c r="HE263" s="22">
        <v>38.119999999999997</v>
      </c>
      <c r="HF263" s="22"/>
      <c r="HG263" s="240"/>
    </row>
    <row r="264" spans="2:215" ht="15.75">
      <c r="B264" s="10"/>
      <c r="C264" s="184" t="s">
        <v>134</v>
      </c>
      <c r="D264" s="73"/>
      <c r="E264" s="73"/>
      <c r="F264" s="74"/>
      <c r="G264" s="74"/>
      <c r="H264" s="74"/>
      <c r="I264" s="73"/>
      <c r="J264" s="74"/>
      <c r="K264" s="74"/>
      <c r="L264" s="74"/>
      <c r="M264" s="143"/>
      <c r="N264" s="191"/>
      <c r="O264" s="74"/>
      <c r="P264" s="74"/>
      <c r="Q264" s="74"/>
      <c r="R264" s="191"/>
      <c r="S264" s="74"/>
      <c r="T264" s="74"/>
      <c r="U264" s="74"/>
      <c r="V264" s="52"/>
      <c r="W264" s="52"/>
      <c r="X264" s="52"/>
      <c r="Y264" s="52"/>
      <c r="Z264" s="22"/>
      <c r="AA264" s="52"/>
      <c r="AB264" s="22"/>
      <c r="AC264" s="52"/>
      <c r="AD264" s="22"/>
      <c r="AE264" s="22"/>
      <c r="AF264" s="22"/>
      <c r="AG264" s="22"/>
      <c r="AH264" s="52"/>
      <c r="AI264" s="52"/>
      <c r="AJ264" s="52"/>
      <c r="AK264" s="52"/>
      <c r="AL264" s="22"/>
      <c r="AM264" s="52"/>
      <c r="AN264" s="22"/>
      <c r="AO264" s="22"/>
      <c r="AP264" s="22"/>
      <c r="AQ264" s="22"/>
      <c r="AR264" s="22"/>
      <c r="AS264" s="22"/>
      <c r="AT264" s="22"/>
      <c r="AU264" s="22"/>
      <c r="AV264" s="77"/>
      <c r="AW264" s="77"/>
      <c r="AX264" s="78"/>
      <c r="AY264" s="22"/>
      <c r="AZ264" s="22"/>
      <c r="BA264" s="22"/>
      <c r="BB264" s="22"/>
      <c r="BC264" s="22"/>
      <c r="BD264" s="22"/>
      <c r="BE264" s="22"/>
      <c r="BF264" s="22"/>
      <c r="BG264" s="22"/>
      <c r="BH264" s="22"/>
      <c r="BI264" s="22"/>
      <c r="BJ264" s="40"/>
      <c r="BK264" s="19"/>
      <c r="BL264" s="19"/>
      <c r="BM264" s="19"/>
      <c r="BN264" s="19"/>
      <c r="BO264" s="19"/>
      <c r="BP264" s="19"/>
      <c r="BQ264" s="19"/>
      <c r="BR264" s="19"/>
      <c r="BS264" s="19"/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48"/>
      <c r="CF264" s="48"/>
      <c r="CG264" s="48"/>
      <c r="CH264" s="48"/>
      <c r="CI264" s="48"/>
      <c r="CJ264" s="48"/>
      <c r="CK264" s="48"/>
      <c r="CL264" s="48"/>
      <c r="CM264" s="48"/>
      <c r="CN264" s="48"/>
      <c r="CO264" s="48"/>
      <c r="CP264" s="48"/>
      <c r="CQ264" s="48"/>
      <c r="CR264" s="48"/>
      <c r="CS264" s="48"/>
      <c r="CT264" s="48"/>
      <c r="CU264" s="48"/>
      <c r="CV264" s="48"/>
      <c r="CW264" s="19"/>
      <c r="CX264" s="19"/>
      <c r="CY264" s="19"/>
      <c r="CZ264" s="19"/>
      <c r="DA264" s="21"/>
      <c r="DB264" s="21"/>
      <c r="DC264" s="79"/>
      <c r="DD264" s="79"/>
      <c r="DE264" s="79"/>
      <c r="DF264" s="79"/>
      <c r="DG264" s="79"/>
      <c r="DH264" s="51"/>
      <c r="DI264" s="39"/>
      <c r="DJ264" s="80"/>
      <c r="DK264" s="39"/>
      <c r="DL264" s="39"/>
      <c r="DM264" s="48"/>
      <c r="DN264" s="39"/>
      <c r="DO264" s="39"/>
      <c r="DP264" s="39"/>
      <c r="DQ264" s="39"/>
      <c r="DR264" s="39"/>
      <c r="DS264" s="39"/>
      <c r="DT264" s="39"/>
      <c r="DU264" s="19"/>
      <c r="DV264" s="40"/>
      <c r="DW264" s="40"/>
      <c r="DX264" s="46"/>
      <c r="DY264" s="21"/>
      <c r="DZ264" s="19"/>
      <c r="EA264" s="19"/>
      <c r="EB264" s="19"/>
      <c r="EC264" s="48"/>
      <c r="ED264" s="48"/>
      <c r="EE264" s="22">
        <v>17</v>
      </c>
      <c r="EF264" s="22">
        <v>17.98</v>
      </c>
      <c r="EG264" s="22">
        <f t="shared" si="1033"/>
        <v>105.76470588235294</v>
      </c>
      <c r="EH264" s="22">
        <v>7.62</v>
      </c>
      <c r="EI264" s="22">
        <v>8.26</v>
      </c>
      <c r="EJ264" s="22">
        <f t="shared" si="1034"/>
        <v>108.39895013123359</v>
      </c>
      <c r="EK264" s="240"/>
      <c r="EL264" s="19">
        <v>41.93</v>
      </c>
      <c r="EM264" s="19">
        <v>34.979999999999997</v>
      </c>
      <c r="EN264" s="40">
        <f t="shared" si="1035"/>
        <v>244.85999999999996</v>
      </c>
      <c r="EO264" s="40">
        <f t="shared" si="1024"/>
        <v>628.94039999999995</v>
      </c>
      <c r="EP264" s="40"/>
      <c r="EQ264" s="21">
        <f t="shared" si="1022"/>
        <v>38.932146829810897</v>
      </c>
      <c r="ER264" s="21"/>
      <c r="ES264" s="21">
        <f t="shared" si="1078"/>
        <v>712.81</v>
      </c>
      <c r="ET264" s="21"/>
      <c r="EU264" s="19">
        <f t="shared" si="1027"/>
        <v>753.90139999999997</v>
      </c>
      <c r="EV264" s="21"/>
      <c r="EW264" s="39"/>
      <c r="EX264" s="39">
        <f t="shared" si="1057"/>
        <v>0</v>
      </c>
      <c r="EY264" s="39">
        <f t="shared" si="1079"/>
        <v>0</v>
      </c>
      <c r="EZ264" s="39"/>
      <c r="FA264" s="39"/>
      <c r="FB264" s="39"/>
      <c r="FC264" s="39"/>
      <c r="FD264" s="39"/>
      <c r="FE264" s="166"/>
      <c r="FF264" s="166"/>
      <c r="FG264" s="39"/>
      <c r="FH264" s="39"/>
      <c r="FI264" s="39"/>
      <c r="FJ264" s="19">
        <f t="shared" si="1036"/>
        <v>368.77220338983045</v>
      </c>
      <c r="FK264" s="19">
        <f t="shared" si="1037"/>
        <v>384.0804</v>
      </c>
      <c r="FL264" s="19">
        <f t="shared" si="1025"/>
        <v>752.85260338983039</v>
      </c>
      <c r="FM264" s="19">
        <v>41.927</v>
      </c>
      <c r="FN264" s="19">
        <v>34.982999999999997</v>
      </c>
      <c r="FO264" s="22">
        <v>20.89</v>
      </c>
      <c r="FP264" s="22">
        <v>20.89</v>
      </c>
      <c r="FQ264" s="22"/>
      <c r="FR264" s="22">
        <v>11.61</v>
      </c>
      <c r="FS264" s="22">
        <v>11.61</v>
      </c>
      <c r="FT264" s="22"/>
      <c r="FU264" s="240"/>
      <c r="FV264" s="19"/>
      <c r="FW264" s="19"/>
      <c r="FX264" s="19"/>
      <c r="FY264" s="19"/>
      <c r="FZ264" s="19"/>
      <c r="GA264" s="19"/>
      <c r="GB264" s="19"/>
      <c r="GC264" s="20"/>
      <c r="GD264" s="20"/>
      <c r="GE264" s="21"/>
      <c r="GF264" s="21"/>
      <c r="GG264" s="21"/>
      <c r="GH264" s="21"/>
      <c r="GI264" s="21"/>
      <c r="GJ264" s="21"/>
      <c r="GK264" s="21"/>
      <c r="GL264" s="21"/>
      <c r="GM264" s="19"/>
      <c r="GN264" s="19"/>
      <c r="GO264" s="22">
        <v>20.89</v>
      </c>
      <c r="GP264" s="22">
        <v>21.55</v>
      </c>
      <c r="GQ264" s="22"/>
      <c r="GR264" s="22">
        <v>11.61</v>
      </c>
      <c r="GS264" s="22">
        <v>12.07</v>
      </c>
      <c r="GT264" s="22"/>
      <c r="GU264" s="240"/>
      <c r="GV264" s="19"/>
      <c r="GW264" s="19"/>
      <c r="GX264" s="19"/>
      <c r="GY264" s="19"/>
      <c r="GZ264" s="23"/>
      <c r="HA264" s="22">
        <v>21.55</v>
      </c>
      <c r="HB264" s="22">
        <v>22.12</v>
      </c>
      <c r="HC264" s="22"/>
      <c r="HD264" s="22">
        <v>12.07</v>
      </c>
      <c r="HE264" s="22">
        <v>12.55</v>
      </c>
      <c r="HF264" s="22"/>
      <c r="HG264" s="240"/>
    </row>
    <row r="265" spans="2:215" ht="15.75">
      <c r="B265" s="10" t="s">
        <v>398</v>
      </c>
      <c r="C265" s="81" t="s">
        <v>218</v>
      </c>
      <c r="D265" s="73">
        <f>+E265+I265</f>
        <v>0</v>
      </c>
      <c r="E265" s="73"/>
      <c r="F265" s="73"/>
      <c r="G265" s="73"/>
      <c r="H265" s="73"/>
      <c r="I265" s="73"/>
      <c r="J265" s="73"/>
      <c r="K265" s="73"/>
      <c r="L265" s="73"/>
      <c r="M265" s="73">
        <f t="shared" ref="M265" si="1080">+N265+R265</f>
        <v>0</v>
      </c>
      <c r="N265" s="73">
        <f t="shared" ref="N265" si="1081">+E265</f>
        <v>0</v>
      </c>
      <c r="O265" s="73"/>
      <c r="P265" s="73"/>
      <c r="Q265" s="73"/>
      <c r="R265" s="73">
        <f t="shared" ref="R265" si="1082">+I265</f>
        <v>0</v>
      </c>
      <c r="S265" s="73"/>
      <c r="T265" s="73"/>
      <c r="U265" s="73"/>
      <c r="V265" s="52"/>
      <c r="W265" s="52"/>
      <c r="X265" s="52"/>
      <c r="Y265" s="52"/>
      <c r="Z265" s="22"/>
      <c r="AA265" s="52"/>
      <c r="AB265" s="22"/>
      <c r="AC265" s="22"/>
      <c r="AD265" s="22"/>
      <c r="AE265" s="22">
        <f t="shared" si="1028"/>
        <v>0</v>
      </c>
      <c r="AF265" s="22"/>
      <c r="AG265" s="22">
        <f t="shared" si="1029"/>
        <v>0</v>
      </c>
      <c r="AH265" s="52"/>
      <c r="AI265" s="52"/>
      <c r="AJ265" s="52"/>
      <c r="AK265" s="52"/>
      <c r="AL265" s="22"/>
      <c r="AM265" s="52"/>
      <c r="AN265" s="22"/>
      <c r="AO265" s="22"/>
      <c r="AP265" s="22"/>
      <c r="AQ265" s="22"/>
      <c r="AR265" s="22"/>
      <c r="AS265" s="22"/>
      <c r="AT265" s="22"/>
      <c r="AU265" s="22">
        <f t="shared" si="1030"/>
        <v>0</v>
      </c>
      <c r="AV265" s="77"/>
      <c r="AW265" s="77">
        <f>+CY265/$CY$257*100</f>
        <v>0</v>
      </c>
      <c r="AX265" s="78"/>
      <c r="AY265" s="22">
        <f t="shared" si="1046"/>
        <v>0</v>
      </c>
      <c r="AZ265" s="22"/>
      <c r="BA265" s="22"/>
      <c r="BB265" s="22"/>
      <c r="BC265" s="22"/>
      <c r="BD265" s="22"/>
      <c r="BE265" s="22">
        <f t="shared" si="1047"/>
        <v>0</v>
      </c>
      <c r="BF265" s="22"/>
      <c r="BG265" s="22"/>
      <c r="BH265" s="22">
        <f t="shared" si="1048"/>
        <v>0</v>
      </c>
      <c r="BI265" s="22"/>
      <c r="BJ265" s="40"/>
      <c r="BK265" s="19">
        <f t="shared" si="979"/>
        <v>0</v>
      </c>
      <c r="BL265" s="19">
        <f t="shared" si="1003"/>
        <v>0</v>
      </c>
      <c r="BM265" s="19">
        <f t="shared" si="1004"/>
        <v>0</v>
      </c>
      <c r="BN265" s="19">
        <f t="shared" si="1005"/>
        <v>0</v>
      </c>
      <c r="BO265" s="19">
        <f t="shared" si="980"/>
        <v>0</v>
      </c>
      <c r="BP265" s="19">
        <f t="shared" si="1006"/>
        <v>0</v>
      </c>
      <c r="BQ265" s="19">
        <f t="shared" si="1049"/>
        <v>0</v>
      </c>
      <c r="BR265" s="19">
        <f t="shared" si="1007"/>
        <v>0</v>
      </c>
      <c r="BS265" s="19">
        <f t="shared" si="981"/>
        <v>0</v>
      </c>
      <c r="BT265" s="19">
        <f t="shared" si="1008"/>
        <v>0</v>
      </c>
      <c r="BU265" s="19">
        <f t="shared" si="1050"/>
        <v>0</v>
      </c>
      <c r="BV265" s="19">
        <f t="shared" si="1009"/>
        <v>0</v>
      </c>
      <c r="BW265" s="19">
        <f t="shared" si="982"/>
        <v>0</v>
      </c>
      <c r="BX265" s="19">
        <f t="shared" ref="BX265:BX267" si="1083">+((AQ265/1.18*N265/1000)+(AR265/1.18*N265/1000))/2</f>
        <v>0</v>
      </c>
      <c r="BY265" s="19">
        <f t="shared" ref="BY265:BY267" si="1084">+((AC265-ROUND(AQ265/1.18,2))*N265/1000+(AD265-ROUND(AR265/1.18,2))*N265/1000)/2</f>
        <v>0</v>
      </c>
      <c r="BZ265" s="19">
        <f t="shared" ref="BZ265:BZ267" si="1085">+((AC265*R265/1000)+(R265*AD265/1000))/2</f>
        <v>0</v>
      </c>
      <c r="CA265" s="19">
        <f t="shared" si="983"/>
        <v>0</v>
      </c>
      <c r="CB265" s="19">
        <f t="shared" ref="CB265:CB267" si="1086">+AT265/1.18*N265/1000</f>
        <v>0</v>
      </c>
      <c r="CC265" s="19">
        <f t="shared" ref="CC265:CC267" si="1087">+(AF265-ROUND(AT265/1.18,2))*N265/1000</f>
        <v>0</v>
      </c>
      <c r="CD265" s="19">
        <f t="shared" ref="CD265:CD299" si="1088">+AF265*R265/1000</f>
        <v>0</v>
      </c>
      <c r="CE265" s="48">
        <f t="shared" si="952"/>
        <v>0</v>
      </c>
      <c r="CF265" s="48">
        <f t="shared" si="953"/>
        <v>0</v>
      </c>
      <c r="CG265" s="48">
        <f t="shared" si="954"/>
        <v>0</v>
      </c>
      <c r="CH265" s="48">
        <f t="shared" si="955"/>
        <v>0</v>
      </c>
      <c r="CI265" s="48">
        <f t="shared" si="956"/>
        <v>0</v>
      </c>
      <c r="CJ265" s="48">
        <f t="shared" si="957"/>
        <v>0</v>
      </c>
      <c r="CK265" s="48">
        <f t="shared" si="958"/>
        <v>0</v>
      </c>
      <c r="CL265" s="48">
        <f t="shared" si="959"/>
        <v>0</v>
      </c>
      <c r="CM265" s="48">
        <f t="shared" si="960"/>
        <v>0</v>
      </c>
      <c r="CN265" s="48">
        <f>+IF((D265+D265+D265)=0,,(BK265+BO265+BS265)/(D265+D265+D265))*1000</f>
        <v>0</v>
      </c>
      <c r="CO265" s="48">
        <f t="shared" si="961"/>
        <v>0</v>
      </c>
      <c r="CP265" s="48">
        <f t="shared" si="962"/>
        <v>0</v>
      </c>
      <c r="CQ265" s="48">
        <f t="shared" si="963"/>
        <v>0</v>
      </c>
      <c r="CR265" s="48">
        <f t="shared" si="964"/>
        <v>0</v>
      </c>
      <c r="CS265" s="48">
        <f t="shared" si="965"/>
        <v>0</v>
      </c>
      <c r="CT265" s="48">
        <f t="shared" si="966"/>
        <v>0</v>
      </c>
      <c r="CU265" s="48">
        <f>+IF((M265+M265)=0,,(CA265+BW265)/(M265+M265))*1000</f>
        <v>0</v>
      </c>
      <c r="CV265" s="48">
        <f t="shared" si="967"/>
        <v>0</v>
      </c>
      <c r="CW265" s="19">
        <f t="shared" ref="CW265:CW267" si="1089">+((AI265*F265)/1.18+(G265*AK265)/1.18+(H265*AM265)/1.18)/1000</f>
        <v>0</v>
      </c>
      <c r="CX265" s="19">
        <f t="shared" ref="CX265:CX267" si="1090">+((W265*F265)+(Y265*G265)+(AA265*H265))/1000</f>
        <v>0</v>
      </c>
      <c r="CY265" s="19">
        <f t="shared" ref="CY265:CY267" si="1091">+((AQ265*O265)/1.18+(Q265*AT265)/1.18+(AR265*P265)/1.18)/1000</f>
        <v>0</v>
      </c>
      <c r="CZ265" s="19">
        <f t="shared" ref="CZ265:CZ267" si="1092">+((AC265*O265)+(AF265*Q265)+(AD265*P265))/1000</f>
        <v>0</v>
      </c>
      <c r="DA265" s="21">
        <f t="shared" ref="DA265:DA299" si="1093">+IF(CX265=0,,CW265/CX265*100)</f>
        <v>0</v>
      </c>
      <c r="DB265" s="21">
        <f t="shared" ref="DB265:DB299" si="1094">+IF(CZ265=0,,CY265/CZ265*100)</f>
        <v>0</v>
      </c>
      <c r="DC265" s="79">
        <f t="shared" si="970"/>
        <v>0</v>
      </c>
      <c r="DD265" s="79">
        <f t="shared" si="970"/>
        <v>0</v>
      </c>
      <c r="DE265" s="79">
        <f t="shared" ref="DE265:DF272" si="1095">+(O265+S265)*AC265/1000</f>
        <v>0</v>
      </c>
      <c r="DF265" s="79">
        <f t="shared" si="1095"/>
        <v>0</v>
      </c>
      <c r="DG265" s="79">
        <f t="shared" ref="DG265:DG299" si="1096">+AF265*(Q265+U265)/1000</f>
        <v>0</v>
      </c>
      <c r="DH265" s="51">
        <f t="shared" ref="DH265:DH299" si="1097">+DE265+DF265+DG265</f>
        <v>0</v>
      </c>
      <c r="DI265" s="39"/>
      <c r="DJ265" s="80">
        <f t="shared" si="973"/>
        <v>0</v>
      </c>
      <c r="DK265" s="39">
        <f t="shared" si="974"/>
        <v>0</v>
      </c>
      <c r="DL265" s="39">
        <f t="shared" si="975"/>
        <v>0</v>
      </c>
      <c r="DM265" s="48">
        <f>+AT265-'[2]тарифы (12-13) население 15%'!AP321</f>
        <v>0</v>
      </c>
      <c r="DN265" s="39"/>
      <c r="DO265" s="39"/>
      <c r="DP265" s="39"/>
      <c r="DQ265" s="39"/>
      <c r="DR265" s="39"/>
      <c r="DS265" s="39"/>
      <c r="DT265" s="39"/>
      <c r="DU265" s="19">
        <f t="shared" si="1051"/>
        <v>0</v>
      </c>
      <c r="DV265" s="40">
        <f t="shared" si="1052"/>
        <v>0</v>
      </c>
      <c r="DW265" s="40">
        <f t="shared" si="1053"/>
        <v>0</v>
      </c>
      <c r="DX265" s="46"/>
      <c r="DY265" s="21">
        <f t="shared" si="1032"/>
        <v>0</v>
      </c>
      <c r="DZ265" s="19">
        <f t="shared" si="1054"/>
        <v>0</v>
      </c>
      <c r="EA265" s="19">
        <f t="shared" si="1055"/>
        <v>0</v>
      </c>
      <c r="EB265" s="19"/>
      <c r="EC265" s="48">
        <f t="shared" si="1076"/>
        <v>0</v>
      </c>
      <c r="ED265" s="48">
        <f t="shared" si="1077"/>
        <v>0</v>
      </c>
      <c r="EE265" s="22"/>
      <c r="EF265" s="22"/>
      <c r="EG265" s="22">
        <f t="shared" si="1033"/>
        <v>0</v>
      </c>
      <c r="EH265" s="22"/>
      <c r="EI265" s="22"/>
      <c r="EJ265" s="22">
        <f t="shared" si="1034"/>
        <v>0</v>
      </c>
      <c r="EK265" s="40"/>
      <c r="EL265" s="19"/>
      <c r="EM265" s="19"/>
      <c r="EN265" s="40">
        <f t="shared" si="1035"/>
        <v>0</v>
      </c>
      <c r="EO265" s="40">
        <f t="shared" si="1024"/>
        <v>0</v>
      </c>
      <c r="EP265" s="40"/>
      <c r="EQ265" s="21">
        <f t="shared" ref="EQ265:EQ290" si="1098">+IF(EO265=0,,EN265/EO265*100)</f>
        <v>0</v>
      </c>
      <c r="ER265" s="21"/>
      <c r="ES265" s="21">
        <f t="shared" si="1078"/>
        <v>0</v>
      </c>
      <c r="ET265" s="21"/>
      <c r="EU265" s="19">
        <f t="shared" si="1027"/>
        <v>0</v>
      </c>
      <c r="EV265" s="21"/>
      <c r="EW265" s="39"/>
      <c r="EX265" s="39">
        <f t="shared" ref="EX265:EX286" si="1099">+BD265*AY265</f>
        <v>0</v>
      </c>
      <c r="EY265" s="39">
        <f t="shared" si="1079"/>
        <v>0</v>
      </c>
      <c r="EZ265" s="39"/>
      <c r="FA265" s="39"/>
      <c r="FB265" s="39"/>
      <c r="FC265" s="39"/>
      <c r="FD265" s="39"/>
      <c r="FE265" s="39"/>
      <c r="FF265" s="39"/>
      <c r="FG265" s="39"/>
      <c r="FH265" s="39"/>
      <c r="FI265" s="39"/>
      <c r="FJ265" s="19">
        <f t="shared" si="1036"/>
        <v>0</v>
      </c>
      <c r="FK265" s="19">
        <f t="shared" si="1037"/>
        <v>0</v>
      </c>
      <c r="FL265" s="19">
        <f t="shared" si="1025"/>
        <v>0</v>
      </c>
      <c r="FM265" s="19"/>
      <c r="FN265" s="19"/>
      <c r="FO265" s="22"/>
      <c r="FP265" s="22"/>
      <c r="FQ265" s="22"/>
      <c r="FR265" s="22"/>
      <c r="FS265" s="22"/>
      <c r="FT265" s="22"/>
      <c r="FU265" s="40"/>
      <c r="FV265" s="19"/>
      <c r="FW265" s="19"/>
      <c r="FX265" s="19"/>
      <c r="FY265" s="19"/>
      <c r="FZ265" s="19"/>
      <c r="GA265" s="19"/>
      <c r="GB265" s="19"/>
      <c r="GC265" s="20"/>
      <c r="GD265" s="20"/>
      <c r="GE265" s="21"/>
      <c r="GF265" s="21"/>
      <c r="GG265" s="21"/>
      <c r="GH265" s="21"/>
      <c r="GI265" s="21"/>
      <c r="GJ265" s="21"/>
      <c r="GK265" s="21"/>
      <c r="GL265" s="21"/>
      <c r="GM265" s="19"/>
      <c r="GN265" s="19"/>
      <c r="GO265" s="22"/>
      <c r="GP265" s="22"/>
      <c r="GQ265" s="22"/>
      <c r="GR265" s="22"/>
      <c r="GS265" s="22"/>
      <c r="GT265" s="22"/>
      <c r="GU265" s="43"/>
      <c r="GV265" s="19"/>
      <c r="GW265" s="19"/>
      <c r="GX265" s="19"/>
      <c r="GY265" s="19"/>
      <c r="GZ265" s="23"/>
      <c r="HA265" s="22"/>
      <c r="HB265" s="22"/>
      <c r="HC265" s="22"/>
      <c r="HD265" s="22"/>
      <c r="HE265" s="22"/>
      <c r="HF265" s="22"/>
      <c r="HG265" s="233"/>
    </row>
    <row r="266" spans="2:215" ht="15.75">
      <c r="B266" s="10"/>
      <c r="C266" s="161" t="s">
        <v>204</v>
      </c>
      <c r="D266" s="73">
        <f>+E266+I266</f>
        <v>6756.33</v>
      </c>
      <c r="E266" s="73">
        <v>4909.2</v>
      </c>
      <c r="F266" s="74">
        <f>+E266*$F$3</f>
        <v>2712.8239199999998</v>
      </c>
      <c r="G266" s="74">
        <f>+E266*$G$3</f>
        <v>731.96172000000001</v>
      </c>
      <c r="H266" s="74">
        <f>+E266*$H$3</f>
        <v>1464.41436</v>
      </c>
      <c r="I266" s="73">
        <f>1554.55+292.58</f>
        <v>1847.1299999999999</v>
      </c>
      <c r="J266" s="74">
        <f>+I266*$J$3</f>
        <v>1020.724038</v>
      </c>
      <c r="K266" s="74">
        <f>+I266*$K$3</f>
        <v>275.407083</v>
      </c>
      <c r="L266" s="74">
        <f>+I266*$L$3</f>
        <v>550.99887899999999</v>
      </c>
      <c r="M266" s="75">
        <f>+N266+R266</f>
        <v>16295.01</v>
      </c>
      <c r="N266" s="189">
        <f>+O266+Q266</f>
        <v>11738.53</v>
      </c>
      <c r="O266" s="74">
        <v>6921.0372880000004</v>
      </c>
      <c r="P266" s="74"/>
      <c r="Q266" s="74">
        <v>4817.4927120000002</v>
      </c>
      <c r="R266" s="75">
        <f>+S266+T266+U266</f>
        <v>4556.4799999999996</v>
      </c>
      <c r="S266" s="74">
        <v>2686.5006079999994</v>
      </c>
      <c r="T266" s="74"/>
      <c r="U266" s="74">
        <v>1869.9793920000002</v>
      </c>
      <c r="V266" s="52"/>
      <c r="W266" s="52"/>
      <c r="X266" s="52"/>
      <c r="Y266" s="52"/>
      <c r="Z266" s="22"/>
      <c r="AA266" s="52">
        <v>3956.24</v>
      </c>
      <c r="AB266" s="22"/>
      <c r="AC266" s="52">
        <v>3956.24</v>
      </c>
      <c r="AD266" s="52">
        <v>3956.24</v>
      </c>
      <c r="AE266" s="22">
        <f t="shared" si="1028"/>
        <v>100</v>
      </c>
      <c r="AF266" s="52">
        <v>3956.24</v>
      </c>
      <c r="AG266" s="22">
        <f t="shared" si="1029"/>
        <v>100</v>
      </c>
      <c r="AH266" s="52"/>
      <c r="AI266" s="52"/>
      <c r="AJ266" s="52"/>
      <c r="AK266" s="52"/>
      <c r="AL266" s="22"/>
      <c r="AM266" s="52">
        <v>2205.0100000000002</v>
      </c>
      <c r="AN266" s="22"/>
      <c r="AO266" s="22"/>
      <c r="AP266" s="22"/>
      <c r="AQ266" s="52">
        <v>2205.0100000000002</v>
      </c>
      <c r="AR266" s="52">
        <v>2205.0100000000002</v>
      </c>
      <c r="AS266" s="22"/>
      <c r="AT266" s="22">
        <v>2462.9899999999998</v>
      </c>
      <c r="AU266" s="22">
        <f t="shared" si="1030"/>
        <v>111.69972018267489</v>
      </c>
      <c r="AV266" s="77"/>
      <c r="AW266" s="77">
        <f>+CY266/$CY$257*100</f>
        <v>81.093794392554543</v>
      </c>
      <c r="AX266" s="78" t="s">
        <v>399</v>
      </c>
      <c r="AY266" s="22">
        <f t="shared" si="1046"/>
        <v>26.793910000000004</v>
      </c>
      <c r="AZ266" s="22">
        <v>16.589491000000006</v>
      </c>
      <c r="BA266" s="22">
        <v>9.0189929999999965</v>
      </c>
      <c r="BB266" s="22">
        <v>1.1854259999999999</v>
      </c>
      <c r="BC266" s="52">
        <v>3956.24</v>
      </c>
      <c r="BD266" s="52">
        <f>+BC266</f>
        <v>3956.24</v>
      </c>
      <c r="BE266" s="22">
        <f t="shared" si="1047"/>
        <v>100</v>
      </c>
      <c r="BF266" s="52">
        <v>2462.9899999999998</v>
      </c>
      <c r="BG266" s="52">
        <v>2566.4299999999998</v>
      </c>
      <c r="BH266" s="22">
        <f t="shared" si="1048"/>
        <v>104.19977344609602</v>
      </c>
      <c r="BI266" s="22">
        <f>+BD266-BG266/1.18</f>
        <v>1781.2993220338981</v>
      </c>
      <c r="BJ266" s="40" t="s">
        <v>220</v>
      </c>
      <c r="BK266" s="19">
        <f t="shared" si="979"/>
        <v>0</v>
      </c>
      <c r="BL266" s="19">
        <f t="shared" si="1003"/>
        <v>0</v>
      </c>
      <c r="BM266" s="19">
        <f t="shared" si="1004"/>
        <v>0</v>
      </c>
      <c r="BN266" s="19">
        <f t="shared" si="1005"/>
        <v>0</v>
      </c>
      <c r="BO266" s="19">
        <f t="shared" si="980"/>
        <v>0</v>
      </c>
      <c r="BP266" s="19">
        <f t="shared" si="1006"/>
        <v>0</v>
      </c>
      <c r="BQ266" s="19">
        <f t="shared" si="1049"/>
        <v>0</v>
      </c>
      <c r="BR266" s="19">
        <f t="shared" si="1007"/>
        <v>0</v>
      </c>
      <c r="BS266" s="19">
        <f t="shared" si="981"/>
        <v>26729.675480216945</v>
      </c>
      <c r="BT266" s="19">
        <f t="shared" si="1008"/>
        <v>9173.5890610169499</v>
      </c>
      <c r="BU266" s="19">
        <f t="shared" si="1050"/>
        <v>10248.396827999997</v>
      </c>
      <c r="BV266" s="19">
        <f t="shared" si="1009"/>
        <v>7307.6895911999991</v>
      </c>
      <c r="BW266" s="19">
        <f t="shared" si="982"/>
        <v>64467.000206120341</v>
      </c>
      <c r="BX266" s="19">
        <f t="shared" si="1083"/>
        <v>21935.233928220343</v>
      </c>
      <c r="BY266" s="19">
        <f t="shared" si="1084"/>
        <v>24505.237842699997</v>
      </c>
      <c r="BZ266" s="19">
        <f t="shared" si="1085"/>
        <v>18026.528435199998</v>
      </c>
      <c r="CA266" s="19">
        <f t="shared" si="983"/>
        <v>64466.966383237275</v>
      </c>
      <c r="CB266" s="19">
        <f t="shared" si="1086"/>
        <v>24501.594919237286</v>
      </c>
      <c r="CC266" s="19">
        <f t="shared" si="1087"/>
        <v>21938.843028799994</v>
      </c>
      <c r="CD266" s="19">
        <f t="shared" si="1088"/>
        <v>18026.528435199998</v>
      </c>
      <c r="CE266" s="48">
        <f t="shared" si="952"/>
        <v>0</v>
      </c>
      <c r="CF266" s="48">
        <f t="shared" si="953"/>
        <v>0</v>
      </c>
      <c r="CG266" s="48">
        <f t="shared" si="954"/>
        <v>3956.24</v>
      </c>
      <c r="CH266" s="48">
        <f t="shared" si="955"/>
        <v>0</v>
      </c>
      <c r="CI266" s="48">
        <f t="shared" si="956"/>
        <v>0</v>
      </c>
      <c r="CJ266" s="48">
        <f t="shared" si="957"/>
        <v>2205.0100000000002</v>
      </c>
      <c r="CK266" s="48">
        <f t="shared" si="958"/>
        <v>0</v>
      </c>
      <c r="CL266" s="48">
        <f t="shared" si="959"/>
        <v>0</v>
      </c>
      <c r="CM266" s="48">
        <f t="shared" si="960"/>
        <v>3956.2418473071839</v>
      </c>
      <c r="CN266" s="48">
        <f>+BS266/D266*1000</f>
        <v>3956.2418473071839</v>
      </c>
      <c r="CO266" s="48">
        <f t="shared" si="961"/>
        <v>3956.24</v>
      </c>
      <c r="CP266" s="48">
        <f t="shared" si="962"/>
        <v>3956.24</v>
      </c>
      <c r="CQ266" s="48">
        <f t="shared" si="963"/>
        <v>2205.0100000000002</v>
      </c>
      <c r="CR266" s="48">
        <f t="shared" si="964"/>
        <v>2462.9899999999998</v>
      </c>
      <c r="CS266" s="48">
        <f t="shared" si="965"/>
        <v>3956.2418314637634</v>
      </c>
      <c r="CT266" s="48">
        <f t="shared" si="966"/>
        <v>3956.2397558048306</v>
      </c>
      <c r="CU266" s="48">
        <f>+IF((M266+M266)=0,,(CA266+BW266)/(M266+M266))*1000</f>
        <v>3956.240793634297</v>
      </c>
      <c r="CV266" s="48">
        <f t="shared" si="967"/>
        <v>99.99997336682317</v>
      </c>
      <c r="CW266" s="19">
        <f t="shared" si="1089"/>
        <v>2736.4816169013561</v>
      </c>
      <c r="CX266" s="19">
        <f t="shared" si="1090"/>
        <v>5793.5746676063991</v>
      </c>
      <c r="CY266" s="19">
        <f t="shared" si="1091"/>
        <v>22988.468478933701</v>
      </c>
      <c r="CZ266" s="19">
        <f t="shared" si="1092"/>
        <v>46440.441927200001</v>
      </c>
      <c r="DA266" s="21">
        <f t="shared" si="1093"/>
        <v>47.233043050292238</v>
      </c>
      <c r="DB266" s="21">
        <f t="shared" si="1094"/>
        <v>49.500968390805596</v>
      </c>
      <c r="DC266" s="79">
        <f>+IF(CW266=0,,CY266/CW266*100)</f>
        <v>840.07392327979903</v>
      </c>
      <c r="DD266" s="79">
        <f t="shared" si="970"/>
        <v>801.58528355321528</v>
      </c>
      <c r="DE266" s="79">
        <f t="shared" si="1095"/>
        <v>38009.725725671036</v>
      </c>
      <c r="DF266" s="79">
        <f t="shared" si="1095"/>
        <v>0</v>
      </c>
      <c r="DG266" s="79">
        <f t="shared" si="1096"/>
        <v>26457.244636728959</v>
      </c>
      <c r="DH266" s="51">
        <f t="shared" si="1097"/>
        <v>64466.970362399996</v>
      </c>
      <c r="DI266" s="39"/>
      <c r="DJ266" s="80">
        <f t="shared" si="973"/>
        <v>0</v>
      </c>
      <c r="DK266" s="39">
        <f t="shared" si="974"/>
        <v>0</v>
      </c>
      <c r="DL266" s="39">
        <f t="shared" si="975"/>
        <v>7973.4584726613593</v>
      </c>
      <c r="DM266" s="48">
        <f>+AT266-'[2]тарифы (12-13) население 15%'!AP322</f>
        <v>-72.770000000000437</v>
      </c>
      <c r="DN266" s="39"/>
      <c r="DO266" s="39"/>
      <c r="DP266" s="39"/>
      <c r="DQ266" s="39"/>
      <c r="DR266" s="39"/>
      <c r="DS266" s="39"/>
      <c r="DT266" s="39"/>
      <c r="DU266" s="19">
        <f t="shared" si="1051"/>
        <v>34626.90715092374</v>
      </c>
      <c r="DV266" s="40">
        <f t="shared" si="1052"/>
        <v>36081.158802652557</v>
      </c>
      <c r="DW266" s="40">
        <f t="shared" si="1053"/>
        <v>65632.007873840019</v>
      </c>
      <c r="DX266" s="21">
        <f>+'[1]тарифы (НВВ) население на 4,2%'!CO335</f>
        <v>49.500968390805596</v>
      </c>
      <c r="DY266" s="21">
        <f t="shared" si="1032"/>
        <v>54.974942823643204</v>
      </c>
      <c r="DZ266" s="19">
        <f t="shared" si="1054"/>
        <v>106.00313849840001</v>
      </c>
      <c r="EA266" s="19">
        <f t="shared" si="1055"/>
        <v>106.00313849840001</v>
      </c>
      <c r="EB266" s="19"/>
      <c r="EC266" s="48">
        <f>+(BC266-BF266/1.18)*AZ266</f>
        <v>31005.100722916282</v>
      </c>
      <c r="ED266" s="48">
        <f>+(BD266-BG266/1.18)*AZ266</f>
        <v>29550.849071187466</v>
      </c>
      <c r="EE266" s="52">
        <v>3956.24</v>
      </c>
      <c r="EF266" s="52">
        <v>3956.24</v>
      </c>
      <c r="EG266" s="22">
        <f t="shared" si="1033"/>
        <v>100</v>
      </c>
      <c r="EH266" s="52">
        <v>2566.4299999999998</v>
      </c>
      <c r="EI266" s="52">
        <v>2566.4299999999998</v>
      </c>
      <c r="EJ266" s="22">
        <f t="shared" si="1034"/>
        <v>100</v>
      </c>
      <c r="EK266" s="40" t="s">
        <v>221</v>
      </c>
      <c r="EL266" s="19">
        <v>26.79</v>
      </c>
      <c r="EM266" s="19">
        <v>14.86</v>
      </c>
      <c r="EN266" s="40">
        <f t="shared" si="1035"/>
        <v>32319.618474576273</v>
      </c>
      <c r="EO266" s="40">
        <f t="shared" ref="EO266:EO290" si="1100">+EF266*EM266</f>
        <v>58789.726399999992</v>
      </c>
      <c r="EP266" s="40"/>
      <c r="EQ266" s="21">
        <f t="shared" si="1098"/>
        <v>54.974942823643211</v>
      </c>
      <c r="ER266" s="21"/>
      <c r="ES266" s="21">
        <f t="shared" si="1078"/>
        <v>105987.66959999999</v>
      </c>
      <c r="ET266" s="21"/>
      <c r="EU266" s="19">
        <f t="shared" si="1027"/>
        <v>105987.66959999999</v>
      </c>
      <c r="EV266" s="21"/>
      <c r="EW266" s="39"/>
      <c r="EX266" s="39">
        <f t="shared" si="1099"/>
        <v>106003.1384984</v>
      </c>
      <c r="EY266" s="39">
        <f t="shared" si="1079"/>
        <v>106003.1384984</v>
      </c>
      <c r="EZ266" s="39"/>
      <c r="FA266" s="39"/>
      <c r="FB266" s="39"/>
      <c r="FC266" s="39"/>
      <c r="FD266" s="39"/>
      <c r="FE266" s="39"/>
      <c r="FF266" s="39"/>
      <c r="FG266" s="39"/>
      <c r="FH266" s="39"/>
      <c r="FI266" s="39"/>
      <c r="FJ266" s="19">
        <f t="shared" si="1036"/>
        <v>26470.107925423723</v>
      </c>
      <c r="FK266" s="19">
        <f t="shared" si="1037"/>
        <v>26470.107925423723</v>
      </c>
      <c r="FL266" s="19">
        <f t="shared" ref="FL266:FL290" si="1101">+FJ266+FK266</f>
        <v>52940.215850847446</v>
      </c>
      <c r="FM266" s="19">
        <v>26.905999999999999</v>
      </c>
      <c r="FN266" s="19">
        <v>17.48</v>
      </c>
      <c r="FO266" s="52">
        <v>1678.49</v>
      </c>
      <c r="FP266" s="52">
        <v>1678.49</v>
      </c>
      <c r="FQ266" s="22"/>
      <c r="FR266" s="52">
        <v>2014.19</v>
      </c>
      <c r="FS266" s="22">
        <v>2014.19</v>
      </c>
      <c r="FT266" s="22"/>
      <c r="FU266" s="40" t="s">
        <v>656</v>
      </c>
      <c r="FV266" s="19"/>
      <c r="FW266" s="19"/>
      <c r="FX266" s="19"/>
      <c r="FY266" s="19"/>
      <c r="FZ266" s="19"/>
      <c r="GA266" s="19"/>
      <c r="GB266" s="19"/>
      <c r="GC266" s="20"/>
      <c r="GD266" s="20"/>
      <c r="GE266" s="21"/>
      <c r="GF266" s="21"/>
      <c r="GG266" s="21"/>
      <c r="GH266" s="21"/>
      <c r="GI266" s="21"/>
      <c r="GJ266" s="21"/>
      <c r="GK266" s="21"/>
      <c r="GL266" s="21"/>
      <c r="GM266" s="19"/>
      <c r="GN266" s="19"/>
      <c r="GO266" s="52">
        <v>1721.41</v>
      </c>
      <c r="GP266" s="52">
        <v>1712.09</v>
      </c>
      <c r="GQ266" s="22"/>
      <c r="GR266" s="52">
        <v>2031.26</v>
      </c>
      <c r="GS266" s="22">
        <v>2020.27</v>
      </c>
      <c r="GT266" s="22"/>
      <c r="GU266" s="40" t="s">
        <v>656</v>
      </c>
      <c r="GV266" s="19"/>
      <c r="GW266" s="19"/>
      <c r="GX266" s="19"/>
      <c r="GY266" s="19"/>
      <c r="GZ266" s="23"/>
      <c r="HA266" s="52" t="s">
        <v>633</v>
      </c>
      <c r="HB266" s="22" t="s">
        <v>633</v>
      </c>
      <c r="HC266" s="22"/>
      <c r="HD266" s="52" t="s">
        <v>633</v>
      </c>
      <c r="HE266" s="22" t="s">
        <v>633</v>
      </c>
      <c r="HF266" s="22"/>
      <c r="HG266" s="233" t="s">
        <v>633</v>
      </c>
    </row>
    <row r="267" spans="2:215" ht="15.75">
      <c r="B267" s="10"/>
      <c r="C267" s="184" t="s">
        <v>300</v>
      </c>
      <c r="D267" s="73">
        <f>+E267+I267</f>
        <v>33892.480000000003</v>
      </c>
      <c r="E267" s="189">
        <v>33390.9</v>
      </c>
      <c r="F267" s="74">
        <f>+E267*$F$3</f>
        <v>18451.81134</v>
      </c>
      <c r="G267" s="74">
        <f>+E267*$G$3</f>
        <v>4978.5831900000003</v>
      </c>
      <c r="H267" s="74">
        <f>+E267*$H$3</f>
        <v>9960.5054700000001</v>
      </c>
      <c r="I267" s="189">
        <f>33892.48-E267</f>
        <v>501.58000000000175</v>
      </c>
      <c r="J267" s="74">
        <f>+I267*$J$3</f>
        <v>277.17310800000098</v>
      </c>
      <c r="K267" s="74">
        <f>+I267*$K$3</f>
        <v>74.785578000000271</v>
      </c>
      <c r="L267" s="74">
        <f>+I267*$L$3</f>
        <v>149.62131400000052</v>
      </c>
      <c r="M267" s="75">
        <f>+N267+R267</f>
        <v>33892.480000000003</v>
      </c>
      <c r="N267" s="189">
        <f>+O267+Q267</f>
        <v>33390.9</v>
      </c>
      <c r="O267" s="74">
        <v>9960.5054700000001</v>
      </c>
      <c r="P267" s="74"/>
      <c r="Q267" s="74">
        <v>23430.394530000001</v>
      </c>
      <c r="R267" s="75">
        <f>+S267+T267+U267</f>
        <v>501.58000000000061</v>
      </c>
      <c r="S267" s="74">
        <v>149.62131400000089</v>
      </c>
      <c r="T267" s="74"/>
      <c r="U267" s="74">
        <v>351.95868599999972</v>
      </c>
      <c r="V267" s="52"/>
      <c r="W267" s="52"/>
      <c r="X267" s="52"/>
      <c r="Y267" s="52"/>
      <c r="Z267" s="22"/>
      <c r="AA267" s="52">
        <v>261.05</v>
      </c>
      <c r="AB267" s="22"/>
      <c r="AC267" s="52">
        <v>261.05</v>
      </c>
      <c r="AD267" s="52">
        <v>261.05</v>
      </c>
      <c r="AE267" s="22">
        <f t="shared" si="1028"/>
        <v>100</v>
      </c>
      <c r="AF267" s="22">
        <v>261.05</v>
      </c>
      <c r="AG267" s="22">
        <f t="shared" si="1029"/>
        <v>100</v>
      </c>
      <c r="AH267" s="52"/>
      <c r="AI267" s="52"/>
      <c r="AJ267" s="52"/>
      <c r="AK267" s="52"/>
      <c r="AL267" s="22"/>
      <c r="AM267" s="52">
        <v>175.24</v>
      </c>
      <c r="AN267" s="22"/>
      <c r="AO267" s="22"/>
      <c r="AP267" s="22"/>
      <c r="AQ267" s="22">
        <v>175.24</v>
      </c>
      <c r="AR267" s="52">
        <v>175.24</v>
      </c>
      <c r="AS267" s="22"/>
      <c r="AT267" s="22">
        <v>195.42</v>
      </c>
      <c r="AU267" s="22">
        <f t="shared" si="1030"/>
        <v>111.51563569961193</v>
      </c>
      <c r="AV267" s="77"/>
      <c r="AW267" s="77">
        <f>+CY267/$CY$257*100</f>
        <v>18.906205607445461</v>
      </c>
      <c r="AX267" s="78" t="s">
        <v>400</v>
      </c>
      <c r="AY267" s="22">
        <f t="shared" si="1046"/>
        <v>0</v>
      </c>
      <c r="AZ267" s="22"/>
      <c r="BA267" s="22"/>
      <c r="BB267" s="22"/>
      <c r="BC267" s="22"/>
      <c r="BD267" s="52"/>
      <c r="BE267" s="22">
        <f t="shared" si="1047"/>
        <v>0</v>
      </c>
      <c r="BF267" s="22">
        <v>195.42</v>
      </c>
      <c r="BG267" s="52">
        <v>203.62</v>
      </c>
      <c r="BH267" s="22">
        <f t="shared" si="1048"/>
        <v>104.19609047180434</v>
      </c>
      <c r="BI267" s="22"/>
      <c r="BJ267" s="40" t="s">
        <v>401</v>
      </c>
      <c r="BK267" s="19">
        <f t="shared" si="979"/>
        <v>0</v>
      </c>
      <c r="BL267" s="19">
        <f t="shared" si="1003"/>
        <v>0</v>
      </c>
      <c r="BM267" s="19">
        <f t="shared" si="1004"/>
        <v>0</v>
      </c>
      <c r="BN267" s="19">
        <f t="shared" si="1005"/>
        <v>0</v>
      </c>
      <c r="BO267" s="19">
        <f t="shared" si="980"/>
        <v>0</v>
      </c>
      <c r="BP267" s="19">
        <f t="shared" si="1006"/>
        <v>0</v>
      </c>
      <c r="BQ267" s="19">
        <f t="shared" si="1049"/>
        <v>0</v>
      </c>
      <c r="BR267" s="19">
        <f t="shared" si="1007"/>
        <v>0</v>
      </c>
      <c r="BS267" s="19">
        <f t="shared" si="981"/>
        <v>8847.5809687288165</v>
      </c>
      <c r="BT267" s="19">
        <f t="shared" si="1008"/>
        <v>4958.8316237288145</v>
      </c>
      <c r="BU267" s="19">
        <f t="shared" si="1050"/>
        <v>3757.8118860000009</v>
      </c>
      <c r="BV267" s="19">
        <f t="shared" si="1009"/>
        <v>130.93745900000047</v>
      </c>
      <c r="BW267" s="19">
        <f t="shared" si="982"/>
        <v>8847.5809687288165</v>
      </c>
      <c r="BX267" s="19">
        <f t="shared" si="1083"/>
        <v>4958.8316237288145</v>
      </c>
      <c r="BY267" s="19">
        <f t="shared" si="1084"/>
        <v>3757.8118860000009</v>
      </c>
      <c r="BZ267" s="19">
        <f t="shared" si="1085"/>
        <v>130.93745900000016</v>
      </c>
      <c r="CA267" s="19">
        <f t="shared" si="983"/>
        <v>8847.6375634745782</v>
      </c>
      <c r="CB267" s="19">
        <f t="shared" si="1086"/>
        <v>5529.8726084745767</v>
      </c>
      <c r="CC267" s="19">
        <f t="shared" si="1087"/>
        <v>3186.8274960000003</v>
      </c>
      <c r="CD267" s="19">
        <f t="shared" si="1088"/>
        <v>130.93745900000016</v>
      </c>
      <c r="CE267" s="48">
        <f t="shared" si="952"/>
        <v>0</v>
      </c>
      <c r="CF267" s="48">
        <f t="shared" si="953"/>
        <v>0</v>
      </c>
      <c r="CG267" s="48">
        <f t="shared" si="954"/>
        <v>261.05000000000007</v>
      </c>
      <c r="CH267" s="48">
        <f t="shared" si="955"/>
        <v>0</v>
      </c>
      <c r="CI267" s="48">
        <f t="shared" si="956"/>
        <v>0</v>
      </c>
      <c r="CJ267" s="48">
        <f t="shared" si="957"/>
        <v>175.24</v>
      </c>
      <c r="CK267" s="48">
        <f t="shared" si="958"/>
        <v>0</v>
      </c>
      <c r="CL267" s="48">
        <f t="shared" si="959"/>
        <v>0</v>
      </c>
      <c r="CM267" s="48">
        <f t="shared" si="960"/>
        <v>261.04849715125056</v>
      </c>
      <c r="CN267" s="48">
        <f>+BS267/D267*1000</f>
        <v>261.04849715125056</v>
      </c>
      <c r="CO267" s="48">
        <f t="shared" si="961"/>
        <v>261.05</v>
      </c>
      <c r="CP267" s="48">
        <f t="shared" si="962"/>
        <v>261.05</v>
      </c>
      <c r="CQ267" s="48">
        <f t="shared" si="963"/>
        <v>175.24</v>
      </c>
      <c r="CR267" s="48">
        <f t="shared" si="964"/>
        <v>195.42000000000002</v>
      </c>
      <c r="CS267" s="48">
        <f t="shared" si="965"/>
        <v>261.04849715125056</v>
      </c>
      <c r="CT267" s="48">
        <f t="shared" si="966"/>
        <v>261.05016698319446</v>
      </c>
      <c r="CU267" s="48">
        <f>+BW267/M267*1000</f>
        <v>261.04849715125056</v>
      </c>
      <c r="CV267" s="48">
        <f t="shared" si="967"/>
        <v>100</v>
      </c>
      <c r="CW267" s="19">
        <f t="shared" si="1089"/>
        <v>1479.2194733583053</v>
      </c>
      <c r="CX267" s="19">
        <f t="shared" si="1090"/>
        <v>2600.1899529435</v>
      </c>
      <c r="CY267" s="19">
        <f t="shared" si="1091"/>
        <v>5359.5310827249159</v>
      </c>
      <c r="CZ267" s="19">
        <f t="shared" si="1092"/>
        <v>8716.694445000001</v>
      </c>
      <c r="DA267" s="21">
        <f t="shared" si="1093"/>
        <v>56.888900431438884</v>
      </c>
      <c r="DB267" s="21">
        <f t="shared" si="1094"/>
        <v>61.485820301974748</v>
      </c>
      <c r="DC267" s="79">
        <f>+IF(CW267=0,,CY267/CW267*100)</f>
        <v>362.32156074561755</v>
      </c>
      <c r="DD267" s="79">
        <f t="shared" si="970"/>
        <v>335.23298692591356</v>
      </c>
      <c r="DE267" s="79">
        <f t="shared" si="1095"/>
        <v>2639.2485969632003</v>
      </c>
      <c r="DF267" s="79">
        <f t="shared" si="1095"/>
        <v>0</v>
      </c>
      <c r="DG267" s="79">
        <f t="shared" si="1096"/>
        <v>6208.3833070368</v>
      </c>
      <c r="DH267" s="51">
        <f t="shared" si="1097"/>
        <v>8847.6319039999998</v>
      </c>
      <c r="DI267" s="39"/>
      <c r="DJ267" s="80">
        <f t="shared" si="973"/>
        <v>0</v>
      </c>
      <c r="DK267" s="39">
        <f t="shared" si="974"/>
        <v>0</v>
      </c>
      <c r="DL267" s="39">
        <f t="shared" si="975"/>
        <v>2639.2485969632003</v>
      </c>
      <c r="DM267" s="48">
        <f>+AT267-'[2]тарифы (12-13) население 15%'!AP323</f>
        <v>-6.1000000000000227</v>
      </c>
      <c r="DN267" s="39"/>
      <c r="DO267" s="39"/>
      <c r="DP267" s="39"/>
      <c r="DQ267" s="39"/>
      <c r="DR267" s="39"/>
      <c r="DS267" s="39"/>
      <c r="DT267" s="39"/>
      <c r="DU267" s="19">
        <f t="shared" si="1051"/>
        <v>0</v>
      </c>
      <c r="DV267" s="40">
        <f>+'[1]тарифы (НВВ) население на 4,2%'!CL336*1.042</f>
        <v>5584.6313881993628</v>
      </c>
      <c r="DW267" s="40">
        <f>+'[1]тарифы (НВВ) население на 4,2%'!CM336*1.042</f>
        <v>9082.7956116900023</v>
      </c>
      <c r="DX267" s="46"/>
      <c r="DY267" s="21">
        <f t="shared" si="1032"/>
        <v>61.485820301974748</v>
      </c>
      <c r="DZ267" s="19">
        <f t="shared" si="1054"/>
        <v>0</v>
      </c>
      <c r="EA267" s="19">
        <f t="shared" si="1055"/>
        <v>0</v>
      </c>
      <c r="EB267" s="19"/>
      <c r="EC267" s="48">
        <f t="shared" si="1076"/>
        <v>0</v>
      </c>
      <c r="ED267" s="48">
        <f t="shared" si="1077"/>
        <v>0</v>
      </c>
      <c r="EE267" s="22">
        <v>269.35000000000002</v>
      </c>
      <c r="EF267" s="52">
        <v>272.45999999999998</v>
      </c>
      <c r="EG267" s="22">
        <f t="shared" si="1033"/>
        <v>101.15463152032669</v>
      </c>
      <c r="EH267" s="22">
        <v>203.62</v>
      </c>
      <c r="EI267" s="52">
        <v>220.82</v>
      </c>
      <c r="EJ267" s="22">
        <f t="shared" si="1034"/>
        <v>108.44710735684117</v>
      </c>
      <c r="EK267" s="40" t="s">
        <v>402</v>
      </c>
      <c r="EL267" s="19">
        <v>85.26</v>
      </c>
      <c r="EM267" s="19">
        <v>75.03</v>
      </c>
      <c r="EN267" s="40">
        <f t="shared" si="1035"/>
        <v>14040.783559322033</v>
      </c>
      <c r="EO267" s="40">
        <f t="shared" si="1100"/>
        <v>20442.6738</v>
      </c>
      <c r="EP267" s="40"/>
      <c r="EQ267" s="21">
        <f t="shared" si="1098"/>
        <v>68.683694201108054</v>
      </c>
      <c r="ER267" s="21"/>
      <c r="ES267" s="21">
        <f t="shared" si="1078"/>
        <v>22964.781000000003</v>
      </c>
      <c r="ET267" s="21"/>
      <c r="EU267" s="19">
        <f t="shared" ref="EU267:EU299" si="1102">+EF267*EL267</f>
        <v>23229.939599999998</v>
      </c>
      <c r="EV267" s="21"/>
      <c r="EW267" s="39"/>
      <c r="EX267" s="39">
        <f t="shared" si="1099"/>
        <v>0</v>
      </c>
      <c r="EY267" s="39">
        <f t="shared" si="1079"/>
        <v>0</v>
      </c>
      <c r="EZ267" s="39"/>
      <c r="FA267" s="39"/>
      <c r="FB267" s="39"/>
      <c r="FC267" s="39"/>
      <c r="FD267" s="39"/>
      <c r="FE267" s="39"/>
      <c r="FF267" s="39"/>
      <c r="FG267" s="39"/>
      <c r="FH267" s="39"/>
      <c r="FI267" s="39"/>
      <c r="FJ267" s="19">
        <f t="shared" si="1036"/>
        <v>7262.2045677966107</v>
      </c>
      <c r="FK267" s="19">
        <f t="shared" si="1037"/>
        <v>6401.8902406779644</v>
      </c>
      <c r="FL267" s="19">
        <f t="shared" si="1101"/>
        <v>13664.094808474576</v>
      </c>
      <c r="FM267" s="19">
        <v>68.97</v>
      </c>
      <c r="FN267" s="19">
        <v>62.85</v>
      </c>
      <c r="FO267" s="52">
        <v>164.92</v>
      </c>
      <c r="FP267" s="52">
        <v>164.92</v>
      </c>
      <c r="FQ267" s="22"/>
      <c r="FR267" s="52">
        <v>197.9</v>
      </c>
      <c r="FS267" s="22">
        <v>197.9</v>
      </c>
      <c r="FT267" s="22"/>
      <c r="FU267" s="40" t="s">
        <v>726</v>
      </c>
      <c r="FV267" s="19"/>
      <c r="FW267" s="19"/>
      <c r="FX267" s="19"/>
      <c r="FY267" s="19"/>
      <c r="FZ267" s="19"/>
      <c r="GA267" s="19"/>
      <c r="GB267" s="19"/>
      <c r="GC267" s="20"/>
      <c r="GD267" s="20"/>
      <c r="GE267" s="21"/>
      <c r="GF267" s="21"/>
      <c r="GG267" s="21"/>
      <c r="GH267" s="21"/>
      <c r="GI267" s="21"/>
      <c r="GJ267" s="21"/>
      <c r="GK267" s="21"/>
      <c r="GL267" s="21"/>
      <c r="GM267" s="19"/>
      <c r="GN267" s="19"/>
      <c r="GO267" s="52">
        <v>175.55</v>
      </c>
      <c r="GP267" s="52">
        <v>178.27</v>
      </c>
      <c r="GQ267" s="22"/>
      <c r="GR267" s="52">
        <v>207.15</v>
      </c>
      <c r="GS267" s="22">
        <v>210.36</v>
      </c>
      <c r="GT267" s="22"/>
      <c r="GU267" s="40" t="s">
        <v>726</v>
      </c>
      <c r="GV267" s="19"/>
      <c r="GW267" s="19"/>
      <c r="GX267" s="19"/>
      <c r="GY267" s="19"/>
      <c r="GZ267" s="23"/>
      <c r="HA267" s="52" t="s">
        <v>633</v>
      </c>
      <c r="HB267" s="22" t="s">
        <v>633</v>
      </c>
      <c r="HC267" s="22"/>
      <c r="HD267" s="52" t="s">
        <v>633</v>
      </c>
      <c r="HE267" s="22" t="s">
        <v>633</v>
      </c>
      <c r="HF267" s="22"/>
      <c r="HG267" s="233" t="s">
        <v>633</v>
      </c>
    </row>
    <row r="268" spans="2:215" ht="15.75">
      <c r="B268" s="10" t="s">
        <v>403</v>
      </c>
      <c r="C268" s="81" t="s">
        <v>607</v>
      </c>
      <c r="D268" s="73"/>
      <c r="E268" s="189"/>
      <c r="F268" s="74"/>
      <c r="G268" s="74"/>
      <c r="H268" s="74"/>
      <c r="I268" s="189"/>
      <c r="J268" s="74"/>
      <c r="K268" s="74"/>
      <c r="L268" s="74"/>
      <c r="M268" s="75"/>
      <c r="N268" s="189"/>
      <c r="O268" s="74"/>
      <c r="P268" s="74"/>
      <c r="Q268" s="74"/>
      <c r="R268" s="75"/>
      <c r="S268" s="74"/>
      <c r="T268" s="74"/>
      <c r="U268" s="74"/>
      <c r="V268" s="52"/>
      <c r="W268" s="52"/>
      <c r="X268" s="52"/>
      <c r="Y268" s="52"/>
      <c r="Z268" s="22"/>
      <c r="AA268" s="52"/>
      <c r="AB268" s="22"/>
      <c r="AC268" s="52"/>
      <c r="AD268" s="52"/>
      <c r="AE268" s="22"/>
      <c r="AF268" s="22"/>
      <c r="AG268" s="22"/>
      <c r="AH268" s="52"/>
      <c r="AI268" s="52"/>
      <c r="AJ268" s="52"/>
      <c r="AK268" s="52"/>
      <c r="AL268" s="22"/>
      <c r="AM268" s="52"/>
      <c r="AN268" s="22"/>
      <c r="AO268" s="22"/>
      <c r="AP268" s="22"/>
      <c r="AQ268" s="22"/>
      <c r="AR268" s="52"/>
      <c r="AS268" s="22"/>
      <c r="AT268" s="22"/>
      <c r="AU268" s="22"/>
      <c r="AV268" s="77"/>
      <c r="AW268" s="77"/>
      <c r="AX268" s="78"/>
      <c r="AY268" s="22"/>
      <c r="AZ268" s="22"/>
      <c r="BA268" s="22"/>
      <c r="BB268" s="22"/>
      <c r="BC268" s="22"/>
      <c r="BD268" s="52"/>
      <c r="BE268" s="22"/>
      <c r="BF268" s="22"/>
      <c r="BG268" s="52"/>
      <c r="BH268" s="22"/>
      <c r="BI268" s="22"/>
      <c r="BJ268" s="40"/>
      <c r="BK268" s="19"/>
      <c r="BL268" s="19"/>
      <c r="BM268" s="19"/>
      <c r="BN268" s="19"/>
      <c r="BO268" s="19"/>
      <c r="BP268" s="19"/>
      <c r="BQ268" s="19"/>
      <c r="BR268" s="19"/>
      <c r="BS268" s="19"/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48"/>
      <c r="CF268" s="48"/>
      <c r="CG268" s="48"/>
      <c r="CH268" s="48"/>
      <c r="CI268" s="48"/>
      <c r="CJ268" s="48"/>
      <c r="CK268" s="48"/>
      <c r="CL268" s="48"/>
      <c r="CM268" s="48"/>
      <c r="CN268" s="48"/>
      <c r="CO268" s="48"/>
      <c r="CP268" s="48"/>
      <c r="CQ268" s="48"/>
      <c r="CR268" s="48"/>
      <c r="CS268" s="48"/>
      <c r="CT268" s="48"/>
      <c r="CU268" s="48"/>
      <c r="CV268" s="48"/>
      <c r="CW268" s="19"/>
      <c r="CX268" s="19"/>
      <c r="CY268" s="19"/>
      <c r="CZ268" s="19"/>
      <c r="DA268" s="21"/>
      <c r="DB268" s="21"/>
      <c r="DC268" s="79"/>
      <c r="DD268" s="79"/>
      <c r="DE268" s="79"/>
      <c r="DF268" s="79"/>
      <c r="DG268" s="79"/>
      <c r="DH268" s="51"/>
      <c r="DI268" s="39"/>
      <c r="DJ268" s="80"/>
      <c r="DK268" s="39"/>
      <c r="DL268" s="39"/>
      <c r="DM268" s="48"/>
      <c r="DN268" s="39"/>
      <c r="DO268" s="39"/>
      <c r="DP268" s="39"/>
      <c r="DQ268" s="39"/>
      <c r="DR268" s="39"/>
      <c r="DS268" s="39"/>
      <c r="DT268" s="39"/>
      <c r="DU268" s="19"/>
      <c r="DV268" s="40"/>
      <c r="DW268" s="40"/>
      <c r="DX268" s="46"/>
      <c r="DY268" s="21"/>
      <c r="DZ268" s="19"/>
      <c r="EA268" s="19"/>
      <c r="EB268" s="19"/>
      <c r="EC268" s="48"/>
      <c r="ED268" s="48"/>
      <c r="EE268" s="22"/>
      <c r="EF268" s="52"/>
      <c r="EG268" s="22"/>
      <c r="EH268" s="22"/>
      <c r="EI268" s="52"/>
      <c r="EJ268" s="22"/>
      <c r="EK268" s="40"/>
      <c r="EL268" s="19"/>
      <c r="EM268" s="19"/>
      <c r="EN268" s="40"/>
      <c r="EO268" s="40"/>
      <c r="EP268" s="40"/>
      <c r="EQ268" s="21"/>
      <c r="ER268" s="21"/>
      <c r="ES268" s="21"/>
      <c r="ET268" s="21"/>
      <c r="EU268" s="19"/>
      <c r="EV268" s="21"/>
      <c r="EW268" s="39"/>
      <c r="EX268" s="39"/>
      <c r="EY268" s="39"/>
      <c r="EZ268" s="39"/>
      <c r="FA268" s="39"/>
      <c r="FB268" s="39"/>
      <c r="FC268" s="39"/>
      <c r="FD268" s="39"/>
      <c r="FE268" s="39"/>
      <c r="FF268" s="39"/>
      <c r="FG268" s="39"/>
      <c r="FH268" s="39"/>
      <c r="FI268" s="39"/>
      <c r="FJ268" s="19"/>
      <c r="FK268" s="19"/>
      <c r="FL268" s="19"/>
      <c r="FM268" s="19"/>
      <c r="FN268" s="19"/>
      <c r="FO268" s="52"/>
      <c r="FP268" s="52"/>
      <c r="FQ268" s="22"/>
      <c r="FR268" s="52"/>
      <c r="FS268" s="22"/>
      <c r="FT268" s="22"/>
      <c r="FU268" s="40"/>
      <c r="FV268" s="19"/>
      <c r="FW268" s="19"/>
      <c r="FX268" s="19"/>
      <c r="FY268" s="19"/>
      <c r="FZ268" s="19"/>
      <c r="GA268" s="19"/>
      <c r="GB268" s="19"/>
      <c r="GC268" s="20"/>
      <c r="GD268" s="20"/>
      <c r="GE268" s="21"/>
      <c r="GF268" s="21"/>
      <c r="GG268" s="21"/>
      <c r="GH268" s="21"/>
      <c r="GI268" s="21"/>
      <c r="GJ268" s="21"/>
      <c r="GK268" s="21"/>
      <c r="GL268" s="21"/>
      <c r="GM268" s="19"/>
      <c r="GN268" s="19"/>
      <c r="GO268" s="52"/>
      <c r="GP268" s="52"/>
      <c r="GQ268" s="22"/>
      <c r="GR268" s="52"/>
      <c r="GS268" s="22"/>
      <c r="GT268" s="22"/>
      <c r="GU268" s="43"/>
      <c r="GV268" s="19"/>
      <c r="GW268" s="19"/>
      <c r="GX268" s="19"/>
      <c r="GY268" s="19"/>
      <c r="GZ268" s="23"/>
      <c r="HA268" s="52"/>
      <c r="HB268" s="52"/>
      <c r="HC268" s="22"/>
      <c r="HD268" s="52"/>
      <c r="HE268" s="22"/>
      <c r="HF268" s="22"/>
      <c r="HG268" s="233"/>
    </row>
    <row r="269" spans="2:215" ht="15.75">
      <c r="B269" s="10"/>
      <c r="C269" s="161" t="s">
        <v>204</v>
      </c>
      <c r="D269" s="73"/>
      <c r="E269" s="189"/>
      <c r="F269" s="74"/>
      <c r="G269" s="74"/>
      <c r="H269" s="74"/>
      <c r="I269" s="189"/>
      <c r="J269" s="74"/>
      <c r="K269" s="74"/>
      <c r="L269" s="74"/>
      <c r="M269" s="75"/>
      <c r="N269" s="189"/>
      <c r="O269" s="74"/>
      <c r="P269" s="74"/>
      <c r="Q269" s="74"/>
      <c r="R269" s="75"/>
      <c r="S269" s="74"/>
      <c r="T269" s="74"/>
      <c r="U269" s="74"/>
      <c r="V269" s="52"/>
      <c r="W269" s="52"/>
      <c r="X269" s="52"/>
      <c r="Y269" s="52"/>
      <c r="Z269" s="22"/>
      <c r="AA269" s="52"/>
      <c r="AB269" s="22"/>
      <c r="AC269" s="52"/>
      <c r="AD269" s="52"/>
      <c r="AE269" s="22"/>
      <c r="AF269" s="22"/>
      <c r="AG269" s="22"/>
      <c r="AH269" s="52"/>
      <c r="AI269" s="52"/>
      <c r="AJ269" s="52"/>
      <c r="AK269" s="52"/>
      <c r="AL269" s="22"/>
      <c r="AM269" s="52"/>
      <c r="AN269" s="22"/>
      <c r="AO269" s="22"/>
      <c r="AP269" s="22"/>
      <c r="AQ269" s="22"/>
      <c r="AR269" s="52"/>
      <c r="AS269" s="22"/>
      <c r="AT269" s="22"/>
      <c r="AU269" s="22"/>
      <c r="AV269" s="77"/>
      <c r="AW269" s="77"/>
      <c r="AX269" s="78"/>
      <c r="AY269" s="22"/>
      <c r="AZ269" s="22"/>
      <c r="BA269" s="22"/>
      <c r="BB269" s="22"/>
      <c r="BC269" s="22"/>
      <c r="BD269" s="52"/>
      <c r="BE269" s="22"/>
      <c r="BF269" s="22"/>
      <c r="BG269" s="52"/>
      <c r="BH269" s="22"/>
      <c r="BI269" s="22"/>
      <c r="BJ269" s="40"/>
      <c r="BK269" s="19"/>
      <c r="BL269" s="19"/>
      <c r="BM269" s="19"/>
      <c r="BN269" s="19"/>
      <c r="BO269" s="19"/>
      <c r="BP269" s="19"/>
      <c r="BQ269" s="19"/>
      <c r="BR269" s="19"/>
      <c r="BS269" s="19"/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48"/>
      <c r="CF269" s="48"/>
      <c r="CG269" s="48"/>
      <c r="CH269" s="48"/>
      <c r="CI269" s="48"/>
      <c r="CJ269" s="48"/>
      <c r="CK269" s="48"/>
      <c r="CL269" s="48"/>
      <c r="CM269" s="48"/>
      <c r="CN269" s="48"/>
      <c r="CO269" s="48"/>
      <c r="CP269" s="48"/>
      <c r="CQ269" s="48"/>
      <c r="CR269" s="48"/>
      <c r="CS269" s="48"/>
      <c r="CT269" s="48"/>
      <c r="CU269" s="48"/>
      <c r="CV269" s="48"/>
      <c r="CW269" s="19"/>
      <c r="CX269" s="19"/>
      <c r="CY269" s="19"/>
      <c r="CZ269" s="19"/>
      <c r="DA269" s="21"/>
      <c r="DB269" s="21"/>
      <c r="DC269" s="79"/>
      <c r="DD269" s="79"/>
      <c r="DE269" s="79"/>
      <c r="DF269" s="79"/>
      <c r="DG269" s="79"/>
      <c r="DH269" s="51"/>
      <c r="DI269" s="39"/>
      <c r="DJ269" s="80"/>
      <c r="DK269" s="39"/>
      <c r="DL269" s="39"/>
      <c r="DM269" s="48"/>
      <c r="DN269" s="39"/>
      <c r="DO269" s="39"/>
      <c r="DP269" s="39"/>
      <c r="DQ269" s="39"/>
      <c r="DR269" s="39"/>
      <c r="DS269" s="39"/>
      <c r="DT269" s="39"/>
      <c r="DU269" s="19"/>
      <c r="DV269" s="40"/>
      <c r="DW269" s="40"/>
      <c r="DX269" s="46"/>
      <c r="DY269" s="21"/>
      <c r="DZ269" s="19"/>
      <c r="EA269" s="19"/>
      <c r="EB269" s="19"/>
      <c r="EC269" s="48"/>
      <c r="ED269" s="48"/>
      <c r="EE269" s="22"/>
      <c r="EF269" s="22">
        <v>2564.4</v>
      </c>
      <c r="EG269" s="22"/>
      <c r="EH269" s="22"/>
      <c r="EI269" s="52"/>
      <c r="EJ269" s="22"/>
      <c r="EK269" s="40" t="s">
        <v>207</v>
      </c>
      <c r="EL269" s="19"/>
      <c r="EM269" s="19"/>
      <c r="EN269" s="40"/>
      <c r="EO269" s="40"/>
      <c r="EP269" s="40"/>
      <c r="EQ269" s="21"/>
      <c r="ER269" s="21"/>
      <c r="ES269" s="21"/>
      <c r="ET269" s="21"/>
      <c r="EU269" s="19"/>
      <c r="EV269" s="21"/>
      <c r="EW269" s="39"/>
      <c r="EX269" s="39"/>
      <c r="EY269" s="39"/>
      <c r="EZ269" s="39"/>
      <c r="FA269" s="39"/>
      <c r="FB269" s="39"/>
      <c r="FC269" s="39"/>
      <c r="FD269" s="39"/>
      <c r="FE269" s="39"/>
      <c r="FF269" s="39"/>
      <c r="FG269" s="39"/>
      <c r="FH269" s="39"/>
      <c r="FI269" s="39"/>
      <c r="FJ269" s="19"/>
      <c r="FK269" s="19"/>
      <c r="FL269" s="19"/>
      <c r="FM269" s="19"/>
      <c r="FN269" s="19"/>
      <c r="FO269" s="52">
        <v>9959.61</v>
      </c>
      <c r="FP269" s="52">
        <v>10382.51</v>
      </c>
      <c r="FQ269" s="22"/>
      <c r="FR269" s="52" t="s">
        <v>633</v>
      </c>
      <c r="FS269" s="22" t="s">
        <v>633</v>
      </c>
      <c r="FT269" s="22"/>
      <c r="FU269" s="40" t="s">
        <v>657</v>
      </c>
      <c r="FV269" s="19"/>
      <c r="FW269" s="19"/>
      <c r="FX269" s="19"/>
      <c r="FY269" s="19"/>
      <c r="FZ269" s="19"/>
      <c r="GA269" s="19"/>
      <c r="GB269" s="19"/>
      <c r="GC269" s="20"/>
      <c r="GD269" s="20"/>
      <c r="GE269" s="19"/>
      <c r="GF269" s="21"/>
      <c r="GG269" s="19"/>
      <c r="GH269" s="19"/>
      <c r="GI269" s="19"/>
      <c r="GJ269" s="21"/>
      <c r="GK269" s="19"/>
      <c r="GL269" s="19"/>
      <c r="GM269" s="19"/>
      <c r="GN269" s="19"/>
      <c r="GO269" s="22">
        <v>10382.51</v>
      </c>
      <c r="GP269" s="22">
        <v>10697.6</v>
      </c>
      <c r="GQ269" s="22"/>
      <c r="GR269" s="22" t="s">
        <v>633</v>
      </c>
      <c r="GS269" s="22" t="s">
        <v>633</v>
      </c>
      <c r="GT269" s="22"/>
      <c r="GU269" s="40" t="s">
        <v>657</v>
      </c>
      <c r="GV269" s="19"/>
      <c r="GW269" s="19"/>
      <c r="GX269" s="19"/>
      <c r="GY269" s="19"/>
      <c r="GZ269" s="23"/>
      <c r="HA269" s="22">
        <v>10697.6</v>
      </c>
      <c r="HB269" s="22">
        <v>11037.88</v>
      </c>
      <c r="HC269" s="22"/>
      <c r="HD269" s="52" t="s">
        <v>633</v>
      </c>
      <c r="HE269" s="22" t="s">
        <v>633</v>
      </c>
      <c r="HF269" s="22"/>
      <c r="HG269" s="236" t="s">
        <v>657</v>
      </c>
    </row>
    <row r="270" spans="2:215" ht="15.75">
      <c r="B270" s="15"/>
      <c r="C270" s="81" t="s">
        <v>636</v>
      </c>
      <c r="D270" s="73"/>
      <c r="E270" s="189"/>
      <c r="F270" s="74"/>
      <c r="G270" s="74"/>
      <c r="H270" s="74"/>
      <c r="I270" s="189"/>
      <c r="J270" s="74"/>
      <c r="K270" s="74"/>
      <c r="L270" s="74"/>
      <c r="M270" s="75"/>
      <c r="N270" s="189"/>
      <c r="O270" s="74"/>
      <c r="P270" s="74"/>
      <c r="Q270" s="74"/>
      <c r="R270" s="75"/>
      <c r="S270" s="74"/>
      <c r="T270" s="74"/>
      <c r="U270" s="74"/>
      <c r="V270" s="52"/>
      <c r="W270" s="52"/>
      <c r="X270" s="52"/>
      <c r="Y270" s="52"/>
      <c r="Z270" s="22"/>
      <c r="AA270" s="52"/>
      <c r="AB270" s="22"/>
      <c r="AC270" s="52"/>
      <c r="AD270" s="52"/>
      <c r="AE270" s="22"/>
      <c r="AF270" s="22"/>
      <c r="AG270" s="22"/>
      <c r="AH270" s="52"/>
      <c r="AI270" s="52"/>
      <c r="AJ270" s="52"/>
      <c r="AK270" s="52"/>
      <c r="AL270" s="22"/>
      <c r="AM270" s="52"/>
      <c r="AN270" s="22"/>
      <c r="AO270" s="22"/>
      <c r="AP270" s="22"/>
      <c r="AQ270" s="22"/>
      <c r="AR270" s="52"/>
      <c r="AS270" s="22"/>
      <c r="AT270" s="22"/>
      <c r="AU270" s="22"/>
      <c r="AV270" s="77"/>
      <c r="AW270" s="77"/>
      <c r="AX270" s="78"/>
      <c r="AY270" s="22"/>
      <c r="AZ270" s="22"/>
      <c r="BA270" s="22"/>
      <c r="BB270" s="22"/>
      <c r="BC270" s="22"/>
      <c r="BD270" s="52"/>
      <c r="BE270" s="22"/>
      <c r="BF270" s="22"/>
      <c r="BG270" s="52"/>
      <c r="BH270" s="22"/>
      <c r="BI270" s="22"/>
      <c r="BJ270" s="40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48"/>
      <c r="CF270" s="48"/>
      <c r="CG270" s="48"/>
      <c r="CH270" s="48"/>
      <c r="CI270" s="48"/>
      <c r="CJ270" s="48"/>
      <c r="CK270" s="48"/>
      <c r="CL270" s="48"/>
      <c r="CM270" s="48"/>
      <c r="CN270" s="48"/>
      <c r="CO270" s="48"/>
      <c r="CP270" s="48"/>
      <c r="CQ270" s="48"/>
      <c r="CR270" s="48"/>
      <c r="CS270" s="48"/>
      <c r="CT270" s="48"/>
      <c r="CU270" s="48"/>
      <c r="CV270" s="48"/>
      <c r="CW270" s="19"/>
      <c r="CX270" s="19"/>
      <c r="CY270" s="19"/>
      <c r="CZ270" s="19"/>
      <c r="DA270" s="21"/>
      <c r="DB270" s="21"/>
      <c r="DC270" s="79"/>
      <c r="DD270" s="79"/>
      <c r="DE270" s="79"/>
      <c r="DF270" s="79"/>
      <c r="DG270" s="79"/>
      <c r="DH270" s="51"/>
      <c r="DI270" s="39"/>
      <c r="DJ270" s="80"/>
      <c r="DK270" s="39"/>
      <c r="DL270" s="39"/>
      <c r="DM270" s="48"/>
      <c r="DN270" s="39"/>
      <c r="DO270" s="39"/>
      <c r="DP270" s="39"/>
      <c r="DQ270" s="39"/>
      <c r="DR270" s="39"/>
      <c r="DS270" s="39"/>
      <c r="DT270" s="39"/>
      <c r="DU270" s="19"/>
      <c r="DV270" s="40"/>
      <c r="DW270" s="40"/>
      <c r="DX270" s="46"/>
      <c r="DY270" s="21"/>
      <c r="DZ270" s="19"/>
      <c r="EA270" s="19"/>
      <c r="EB270" s="19"/>
      <c r="EC270" s="48"/>
      <c r="ED270" s="48"/>
      <c r="EE270" s="22"/>
      <c r="EF270" s="22"/>
      <c r="EG270" s="22"/>
      <c r="EH270" s="22"/>
      <c r="EI270" s="52"/>
      <c r="EJ270" s="22"/>
      <c r="EK270" s="40"/>
      <c r="EL270" s="19"/>
      <c r="EM270" s="19"/>
      <c r="EN270" s="40"/>
      <c r="EO270" s="40"/>
      <c r="EP270" s="40"/>
      <c r="EQ270" s="21"/>
      <c r="ER270" s="21"/>
      <c r="ES270" s="21"/>
      <c r="ET270" s="21"/>
      <c r="EU270" s="19"/>
      <c r="EV270" s="21"/>
      <c r="EW270" s="39"/>
      <c r="EX270" s="39"/>
      <c r="EY270" s="39"/>
      <c r="EZ270" s="39"/>
      <c r="FA270" s="39"/>
      <c r="FB270" s="39"/>
      <c r="FC270" s="39"/>
      <c r="FD270" s="39"/>
      <c r="FE270" s="39"/>
      <c r="FF270" s="39"/>
      <c r="FG270" s="39"/>
      <c r="FH270" s="39"/>
      <c r="FI270" s="39"/>
      <c r="FJ270" s="19"/>
      <c r="FK270" s="19"/>
      <c r="FL270" s="19"/>
      <c r="FM270" s="19"/>
      <c r="FN270" s="19"/>
      <c r="FO270" s="52"/>
      <c r="FP270" s="52"/>
      <c r="FQ270" s="22"/>
      <c r="FR270" s="52"/>
      <c r="FS270" s="22"/>
      <c r="FT270" s="22"/>
      <c r="FU270" s="40"/>
      <c r="FV270" s="19"/>
      <c r="FW270" s="19"/>
      <c r="FX270" s="19"/>
      <c r="FY270" s="19"/>
      <c r="FZ270" s="19"/>
      <c r="GA270" s="19"/>
      <c r="GB270" s="19"/>
      <c r="GC270" s="20"/>
      <c r="GD270" s="20"/>
      <c r="GE270" s="21"/>
      <c r="GF270" s="21"/>
      <c r="GG270" s="21"/>
      <c r="GH270" s="21"/>
      <c r="GI270" s="21"/>
      <c r="GJ270" s="21"/>
      <c r="GK270" s="21"/>
      <c r="GL270" s="21"/>
      <c r="GM270" s="19"/>
      <c r="GN270" s="19"/>
      <c r="GO270" s="52"/>
      <c r="GP270" s="52"/>
      <c r="GQ270" s="22"/>
      <c r="GR270" s="52"/>
      <c r="GS270" s="22"/>
      <c r="GT270" s="22"/>
      <c r="GU270" s="43"/>
      <c r="GV270" s="19"/>
      <c r="GW270" s="19"/>
      <c r="GX270" s="19"/>
      <c r="GY270" s="19"/>
      <c r="GZ270" s="23"/>
      <c r="HA270" s="52"/>
      <c r="HB270" s="52"/>
      <c r="HC270" s="22"/>
      <c r="HD270" s="52"/>
      <c r="HE270" s="22"/>
      <c r="HF270" s="22"/>
      <c r="HG270" s="233"/>
    </row>
    <row r="271" spans="2:215" ht="16.149999999999999" customHeight="1" thickBot="1">
      <c r="B271" s="15"/>
      <c r="C271" s="161" t="s">
        <v>641</v>
      </c>
      <c r="D271" s="82"/>
      <c r="E271" s="82"/>
      <c r="F271" s="74"/>
      <c r="G271" s="74"/>
      <c r="H271" s="74"/>
      <c r="I271" s="82"/>
      <c r="J271" s="82"/>
      <c r="K271" s="82"/>
      <c r="L271" s="82"/>
      <c r="M271" s="82"/>
      <c r="N271" s="82"/>
      <c r="O271" s="76"/>
      <c r="P271" s="76"/>
      <c r="Q271" s="76"/>
      <c r="R271" s="82"/>
      <c r="S271" s="82"/>
      <c r="T271" s="82"/>
      <c r="U271" s="82"/>
      <c r="V271" s="52"/>
      <c r="W271" s="52"/>
      <c r="X271" s="52"/>
      <c r="Y271" s="52"/>
      <c r="Z271" s="22"/>
      <c r="AA271" s="52"/>
      <c r="AB271" s="22"/>
      <c r="AC271" s="22"/>
      <c r="AD271" s="22"/>
      <c r="AE271" s="22"/>
      <c r="AF271" s="22"/>
      <c r="AG271" s="22"/>
      <c r="AH271" s="22"/>
      <c r="AI271" s="22"/>
      <c r="AJ271" s="52"/>
      <c r="AK271" s="22"/>
      <c r="AL271" s="22"/>
      <c r="AM271" s="22"/>
      <c r="AN271" s="22"/>
      <c r="AO271" s="22"/>
      <c r="AP271" s="22"/>
      <c r="AQ271" s="22"/>
      <c r="AR271" s="22"/>
      <c r="AS271" s="22"/>
      <c r="AT271" s="22"/>
      <c r="AU271" s="22"/>
      <c r="AV271" s="77"/>
      <c r="AW271" s="77"/>
      <c r="AX271" s="78"/>
      <c r="AY271" s="22"/>
      <c r="AZ271" s="22"/>
      <c r="BA271" s="22"/>
      <c r="BB271" s="22"/>
      <c r="BC271" s="22"/>
      <c r="BD271" s="22"/>
      <c r="BE271" s="22"/>
      <c r="BF271" s="22"/>
      <c r="BG271" s="22"/>
      <c r="BH271" s="22"/>
      <c r="BI271" s="22"/>
      <c r="BJ271" s="40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48"/>
      <c r="CF271" s="48"/>
      <c r="CG271" s="48"/>
      <c r="CH271" s="48"/>
      <c r="CI271" s="48"/>
      <c r="CJ271" s="48"/>
      <c r="CK271" s="48"/>
      <c r="CL271" s="48"/>
      <c r="CM271" s="48"/>
      <c r="CN271" s="48"/>
      <c r="CO271" s="48"/>
      <c r="CP271" s="48"/>
      <c r="CQ271" s="48"/>
      <c r="CR271" s="48"/>
      <c r="CS271" s="48"/>
      <c r="CT271" s="48"/>
      <c r="CU271" s="48"/>
      <c r="CV271" s="48"/>
      <c r="CW271" s="19"/>
      <c r="CX271" s="19"/>
      <c r="CY271" s="19"/>
      <c r="CZ271" s="19"/>
      <c r="DA271" s="21"/>
      <c r="DB271" s="21"/>
      <c r="DC271" s="79"/>
      <c r="DD271" s="79"/>
      <c r="DE271" s="79"/>
      <c r="DF271" s="79"/>
      <c r="DG271" s="79"/>
      <c r="DH271" s="51"/>
      <c r="DI271" s="39"/>
      <c r="DJ271" s="80"/>
      <c r="DK271" s="39"/>
      <c r="DL271" s="39"/>
      <c r="DM271" s="48"/>
      <c r="DN271" s="39"/>
      <c r="DO271" s="39"/>
      <c r="DP271" s="39"/>
      <c r="DQ271" s="39"/>
      <c r="DR271" s="39"/>
      <c r="DS271" s="39"/>
      <c r="DT271" s="39"/>
      <c r="DU271" s="19"/>
      <c r="DV271" s="40"/>
      <c r="DW271" s="40"/>
      <c r="DX271" s="21"/>
      <c r="DY271" s="21"/>
      <c r="DZ271" s="19"/>
      <c r="EA271" s="19"/>
      <c r="EB271" s="19"/>
      <c r="EC271" s="48"/>
      <c r="ED271" s="48"/>
      <c r="EE271" s="22"/>
      <c r="EF271" s="22"/>
      <c r="EG271" s="22"/>
      <c r="EH271" s="22"/>
      <c r="EI271" s="22"/>
      <c r="EJ271" s="22"/>
      <c r="EK271" s="83"/>
      <c r="EL271" s="19"/>
      <c r="EM271" s="19"/>
      <c r="EN271" s="146"/>
      <c r="EO271" s="146"/>
      <c r="EP271" s="146"/>
      <c r="EQ271" s="21"/>
      <c r="ER271" s="21"/>
      <c r="ES271" s="19"/>
      <c r="ET271" s="19"/>
      <c r="EU271" s="19"/>
      <c r="EV271" s="21"/>
      <c r="EW271" s="39"/>
      <c r="EX271" s="39"/>
      <c r="EY271" s="39"/>
      <c r="EZ271" s="39"/>
      <c r="FA271" s="39"/>
      <c r="FB271" s="39"/>
      <c r="FC271" s="39"/>
      <c r="FD271" s="39"/>
      <c r="FE271" s="39"/>
      <c r="FF271" s="39"/>
      <c r="FG271" s="39"/>
      <c r="FH271" s="39"/>
      <c r="FI271" s="39"/>
      <c r="FJ271" s="19"/>
      <c r="FK271" s="19"/>
      <c r="FL271" s="19"/>
      <c r="FM271" s="19"/>
      <c r="FN271" s="19"/>
      <c r="FO271" s="22">
        <v>266.52999999999997</v>
      </c>
      <c r="FP271" s="22">
        <v>273.74</v>
      </c>
      <c r="FQ271" s="22"/>
      <c r="FR271" s="22">
        <v>266.52999999999997</v>
      </c>
      <c r="FS271" s="22">
        <v>273.74</v>
      </c>
      <c r="FT271" s="22"/>
      <c r="FU271" s="83" t="s">
        <v>627</v>
      </c>
      <c r="FV271" s="19"/>
      <c r="FW271" s="19"/>
      <c r="FX271" s="19"/>
      <c r="FY271" s="19"/>
      <c r="FZ271" s="19"/>
      <c r="GA271" s="19"/>
      <c r="GB271" s="19"/>
      <c r="GC271" s="20"/>
      <c r="GD271" s="20"/>
      <c r="GE271" s="19"/>
      <c r="GF271" s="21"/>
      <c r="GG271" s="19"/>
      <c r="GH271" s="19"/>
      <c r="GI271" s="19"/>
      <c r="GJ271" s="21"/>
      <c r="GK271" s="19"/>
      <c r="GL271" s="19"/>
      <c r="GM271" s="19"/>
      <c r="GN271" s="19"/>
      <c r="GO271" s="57">
        <v>273.74</v>
      </c>
      <c r="GP271" s="57">
        <v>539.78</v>
      </c>
      <c r="GQ271" s="57"/>
      <c r="GR271" s="57">
        <v>273.74</v>
      </c>
      <c r="GS271" s="57">
        <v>539.78</v>
      </c>
      <c r="GT271" s="57"/>
      <c r="GU271" s="83" t="s">
        <v>627</v>
      </c>
      <c r="GV271" s="19"/>
      <c r="GW271" s="19"/>
      <c r="GX271" s="19"/>
      <c r="GY271" s="19"/>
      <c r="GZ271" s="19"/>
      <c r="HA271" s="22">
        <v>539.78</v>
      </c>
      <c r="HB271" s="22">
        <v>539.12</v>
      </c>
      <c r="HC271" s="22"/>
      <c r="HD271" s="22">
        <v>539.78</v>
      </c>
      <c r="HE271" s="22">
        <v>539.12</v>
      </c>
      <c r="HF271" s="22"/>
      <c r="HG271" s="235" t="s">
        <v>627</v>
      </c>
    </row>
    <row r="272" spans="2:215" ht="16.5" thickBot="1">
      <c r="B272" s="7" t="s">
        <v>121</v>
      </c>
      <c r="C272" s="80" t="s">
        <v>404</v>
      </c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>
        <f t="shared" ref="X272:X290" si="1103">+IF(V272=0,,W272/V272*100)</f>
        <v>0</v>
      </c>
      <c r="Y272" s="80"/>
      <c r="Z272" s="80">
        <f t="shared" si="1040"/>
        <v>0</v>
      </c>
      <c r="AA272" s="80"/>
      <c r="AB272" s="80">
        <f t="shared" si="1041"/>
        <v>0</v>
      </c>
      <c r="AC272" s="80"/>
      <c r="AD272" s="80"/>
      <c r="AE272" s="80">
        <f t="shared" si="1028"/>
        <v>0</v>
      </c>
      <c r="AF272" s="80"/>
      <c r="AG272" s="80">
        <f>+IF(AC272=0,,AF272/AC272*100)</f>
        <v>0</v>
      </c>
      <c r="AH272" s="80"/>
      <c r="AI272" s="80"/>
      <c r="AJ272" s="80">
        <f t="shared" si="1042"/>
        <v>0</v>
      </c>
      <c r="AK272" s="80"/>
      <c r="AL272" s="80">
        <f t="shared" si="1043"/>
        <v>0</v>
      </c>
      <c r="AM272" s="80"/>
      <c r="AN272" s="80">
        <f t="shared" si="1044"/>
        <v>0</v>
      </c>
      <c r="AO272" s="80">
        <f t="shared" ref="AO272:AO290" si="1104">+IF(V272=0,,AA272/V272*100)</f>
        <v>0</v>
      </c>
      <c r="AP272" s="80">
        <f t="shared" si="1045"/>
        <v>0</v>
      </c>
      <c r="AQ272" s="80"/>
      <c r="AR272" s="80"/>
      <c r="AS272" s="80">
        <f t="shared" ref="AS272" si="1105">+IF(AQ272=0,,AT272/AQ272*100)</f>
        <v>0</v>
      </c>
      <c r="AT272" s="80"/>
      <c r="AU272" s="80">
        <f>+IF(AQ272=0,,AT272/AQ272*100)</f>
        <v>0</v>
      </c>
      <c r="AV272" s="77"/>
      <c r="AW272" s="77">
        <f>+CY272/$CY$272*100</f>
        <v>100</v>
      </c>
      <c r="AX272" s="78"/>
      <c r="AY272" s="80">
        <f t="shared" si="1046"/>
        <v>0</v>
      </c>
      <c r="AZ272" s="80"/>
      <c r="BA272" s="80"/>
      <c r="BB272" s="80"/>
      <c r="BC272" s="80"/>
      <c r="BD272" s="80"/>
      <c r="BE272" s="22">
        <f t="shared" si="1047"/>
        <v>0</v>
      </c>
      <c r="BF272" s="80"/>
      <c r="BG272" s="80"/>
      <c r="BH272" s="22">
        <f t="shared" si="1048"/>
        <v>0</v>
      </c>
      <c r="BI272" s="22"/>
      <c r="BJ272" s="40"/>
      <c r="BK272" s="80">
        <f t="shared" si="979"/>
        <v>0</v>
      </c>
      <c r="BL272" s="80">
        <f t="shared" si="1003"/>
        <v>0</v>
      </c>
      <c r="BM272" s="80">
        <f t="shared" si="1004"/>
        <v>0</v>
      </c>
      <c r="BN272" s="80">
        <f t="shared" si="1005"/>
        <v>0</v>
      </c>
      <c r="BO272" s="80">
        <f t="shared" si="980"/>
        <v>0</v>
      </c>
      <c r="BP272" s="80">
        <f t="shared" si="1006"/>
        <v>0</v>
      </c>
      <c r="BQ272" s="80">
        <f t="shared" si="1049"/>
        <v>0</v>
      </c>
      <c r="BR272" s="80">
        <f t="shared" si="1007"/>
        <v>0</v>
      </c>
      <c r="BS272" s="80">
        <f t="shared" si="981"/>
        <v>0</v>
      </c>
      <c r="BT272" s="80">
        <f t="shared" si="1008"/>
        <v>0</v>
      </c>
      <c r="BU272" s="80">
        <f t="shared" si="1050"/>
        <v>0</v>
      </c>
      <c r="BV272" s="80">
        <f t="shared" si="1009"/>
        <v>0</v>
      </c>
      <c r="BW272" s="80"/>
      <c r="BX272" s="48">
        <f>+SUM(BX273:BX296)</f>
        <v>30853.877587033901</v>
      </c>
      <c r="BY272" s="48">
        <f>+SUM(BY273:BY296)</f>
        <v>0</v>
      </c>
      <c r="BZ272" s="80">
        <f>+AC272*R272/1000</f>
        <v>0</v>
      </c>
      <c r="CA272" s="80"/>
      <c r="CB272" s="48">
        <f>+SUM(CB273:CB296)</f>
        <v>33589.313471271191</v>
      </c>
      <c r="CC272" s="48">
        <f>+SUM(CC273:CC296)</f>
        <v>0</v>
      </c>
      <c r="CD272" s="80">
        <f t="shared" si="1088"/>
        <v>0</v>
      </c>
      <c r="CE272" s="80">
        <f t="shared" si="952"/>
        <v>0</v>
      </c>
      <c r="CF272" s="80">
        <f t="shared" si="953"/>
        <v>0</v>
      </c>
      <c r="CG272" s="80">
        <f t="shared" si="954"/>
        <v>0</v>
      </c>
      <c r="CH272" s="80">
        <f t="shared" si="955"/>
        <v>0</v>
      </c>
      <c r="CI272" s="80">
        <f t="shared" si="956"/>
        <v>0</v>
      </c>
      <c r="CJ272" s="80">
        <f t="shared" si="957"/>
        <v>0</v>
      </c>
      <c r="CK272" s="80">
        <f t="shared" si="958"/>
        <v>0</v>
      </c>
      <c r="CL272" s="80">
        <f t="shared" si="959"/>
        <v>0</v>
      </c>
      <c r="CM272" s="80">
        <f t="shared" si="960"/>
        <v>0</v>
      </c>
      <c r="CN272" s="80">
        <f t="shared" ref="CN272:CN299" si="1106">+IF((D272+D272+D272)=0,,(BK272+BO272+BS272)/(D272+D272+D272))*1000</f>
        <v>0</v>
      </c>
      <c r="CO272" s="80">
        <f t="shared" si="961"/>
        <v>0</v>
      </c>
      <c r="CP272" s="80">
        <f t="shared" si="962"/>
        <v>0</v>
      </c>
      <c r="CQ272" s="80">
        <f t="shared" si="963"/>
        <v>0</v>
      </c>
      <c r="CR272" s="80">
        <f t="shared" si="964"/>
        <v>0</v>
      </c>
      <c r="CS272" s="80">
        <f t="shared" si="965"/>
        <v>0</v>
      </c>
      <c r="CT272" s="80">
        <f t="shared" si="966"/>
        <v>0</v>
      </c>
      <c r="CU272" s="80">
        <f t="shared" ref="CU272:CU299" si="1107">+IF((M272+M272)=0,,(CA272+BW272)/(M272+M272))*1000</f>
        <v>0</v>
      </c>
      <c r="CV272" s="80">
        <f t="shared" si="967"/>
        <v>0</v>
      </c>
      <c r="CW272" s="48">
        <f>+SUM(CW273:CW296)</f>
        <v>28949.803196013025</v>
      </c>
      <c r="CX272" s="48">
        <f>+SUM(CX273:CX296)</f>
        <v>28949.92800310042</v>
      </c>
      <c r="CY272" s="48">
        <f>+SUM(CY273:CY296)</f>
        <v>31982.495513539528</v>
      </c>
      <c r="CZ272" s="48">
        <f>+SUM(CZ273:CZ296)</f>
        <v>31982.502306756964</v>
      </c>
      <c r="DA272" s="20">
        <f t="shared" si="1093"/>
        <v>99.999568886363448</v>
      </c>
      <c r="DB272" s="20">
        <f t="shared" si="1094"/>
        <v>99.999978759581182</v>
      </c>
      <c r="DC272" s="20">
        <f t="shared" si="970"/>
        <v>110.47569234579173</v>
      </c>
      <c r="DD272" s="20">
        <f t="shared" si="970"/>
        <v>110.47523953542049</v>
      </c>
      <c r="DE272" s="79">
        <f t="shared" si="1095"/>
        <v>0</v>
      </c>
      <c r="DF272" s="79">
        <f t="shared" si="1095"/>
        <v>0</v>
      </c>
      <c r="DG272" s="79">
        <f t="shared" si="1096"/>
        <v>0</v>
      </c>
      <c r="DH272" s="51">
        <f t="shared" si="1097"/>
        <v>0</v>
      </c>
      <c r="DI272" s="39"/>
      <c r="DJ272" s="80">
        <f t="shared" si="973"/>
        <v>0</v>
      </c>
      <c r="DK272" s="39">
        <f t="shared" si="974"/>
        <v>0</v>
      </c>
      <c r="DL272" s="39">
        <f t="shared" si="975"/>
        <v>0</v>
      </c>
      <c r="DM272" s="48">
        <f>+AT272-'[2]тарифы (12-13) население 15%'!AP328</f>
        <v>0</v>
      </c>
      <c r="DN272" s="39"/>
      <c r="DO272" s="39"/>
      <c r="DP272" s="39"/>
      <c r="DQ272" s="39"/>
      <c r="DR272" s="39"/>
      <c r="DS272" s="39"/>
      <c r="DT272" s="39"/>
      <c r="DU272" s="19">
        <f t="shared" si="1051"/>
        <v>0</v>
      </c>
      <c r="DV272" s="42">
        <f>+SUM(DV273:DV296)</f>
        <v>168610.83250439979</v>
      </c>
      <c r="DW272" s="42">
        <f>+SUM(DW273:DW296)</f>
        <v>285008.60074757133</v>
      </c>
      <c r="DX272" s="42">
        <f>+'[1]тарифы (НВВ) население на 4,2%'!CO341</f>
        <v>85.831349357248072</v>
      </c>
      <c r="DY272" s="42">
        <f t="shared" si="1032"/>
        <v>59.15991028415889</v>
      </c>
      <c r="DZ272" s="19">
        <f t="shared" si="1054"/>
        <v>0</v>
      </c>
      <c r="EA272" s="19">
        <f t="shared" si="1055"/>
        <v>0</v>
      </c>
      <c r="EB272" s="19"/>
      <c r="EC272" s="22">
        <f>+SUM(EC273:EC296)</f>
        <v>105176.93955620338</v>
      </c>
      <c r="ED272" s="22">
        <f>+SUM(ED273:ED296)</f>
        <v>109594.24549578303</v>
      </c>
      <c r="EE272" s="80"/>
      <c r="EF272" s="80"/>
      <c r="EG272" s="22">
        <f t="shared" si="1033"/>
        <v>0</v>
      </c>
      <c r="EH272" s="80"/>
      <c r="EI272" s="80"/>
      <c r="EJ272" s="22">
        <f t="shared" si="1034"/>
        <v>0</v>
      </c>
      <c r="EK272" s="40"/>
      <c r="EL272" s="40"/>
      <c r="EM272" s="40"/>
      <c r="EN272" s="146">
        <f>+SUM(EN273:EN296)</f>
        <v>169072.17452399322</v>
      </c>
      <c r="EO272" s="146">
        <f>+SUM(EO273:EO296)</f>
        <v>287693.94910123793</v>
      </c>
      <c r="EP272" s="146" t="e">
        <f>+$EN$442/$EN$445*EN272</f>
        <v>#REF!</v>
      </c>
      <c r="EQ272" s="42">
        <f t="shared" si="1098"/>
        <v>58.768067612189391</v>
      </c>
      <c r="ER272" s="42" t="e">
        <f>+IF((EN272+EP272)=0,,(EN272+EP272)/(EO272+EP272))*100</f>
        <v>#REF!</v>
      </c>
      <c r="ES272" s="42"/>
      <c r="ET272" s="42"/>
      <c r="EU272" s="19">
        <f t="shared" si="1102"/>
        <v>0</v>
      </c>
      <c r="EV272" s="42"/>
      <c r="EW272" s="39"/>
      <c r="EX272" s="39">
        <f t="shared" si="1099"/>
        <v>0</v>
      </c>
      <c r="EY272" s="39">
        <f t="shared" si="1079"/>
        <v>0</v>
      </c>
      <c r="EZ272" s="39"/>
      <c r="FA272" s="39"/>
      <c r="FB272" s="39"/>
      <c r="FC272" s="39"/>
      <c r="FD272" s="39"/>
      <c r="FE272" s="39"/>
      <c r="FF272" s="39"/>
      <c r="FG272" s="39"/>
      <c r="FH272" s="39"/>
      <c r="FI272" s="39"/>
      <c r="FJ272" s="41">
        <f>+SUM(FJ274:FJ296)</f>
        <v>112593.20040189153</v>
      </c>
      <c r="FK272" s="41">
        <f>+SUM(FK274:FK296)</f>
        <v>118621.55226533387</v>
      </c>
      <c r="FL272" s="41">
        <f t="shared" si="1101"/>
        <v>231214.7526672254</v>
      </c>
      <c r="FM272" s="40"/>
      <c r="FN272" s="40"/>
      <c r="FO272" s="80">
        <f t="shared" ref="FO272:FO273" si="1108">+EF272</f>
        <v>0</v>
      </c>
      <c r="FP272" s="80"/>
      <c r="FQ272" s="22"/>
      <c r="FR272" s="80">
        <f t="shared" ref="FR272:FR273" si="1109">+EI272</f>
        <v>0</v>
      </c>
      <c r="FS272" s="80"/>
      <c r="FT272" s="22"/>
      <c r="FU272" s="40"/>
      <c r="FV272" s="41">
        <f t="shared" ref="FV272:GB272" si="1110">+SUM(FV274:FV296)</f>
        <v>0</v>
      </c>
      <c r="FW272" s="41">
        <f t="shared" si="1110"/>
        <v>0</v>
      </c>
      <c r="FX272" s="41">
        <f t="shared" si="1110"/>
        <v>0</v>
      </c>
      <c r="FY272" s="41">
        <f t="shared" si="1110"/>
        <v>0</v>
      </c>
      <c r="FZ272" s="41">
        <f t="shared" si="1110"/>
        <v>0</v>
      </c>
      <c r="GA272" s="41">
        <f t="shared" si="1110"/>
        <v>0</v>
      </c>
      <c r="GB272" s="41">
        <f t="shared" si="1110"/>
        <v>0</v>
      </c>
      <c r="GC272" s="20">
        <f t="shared" ref="GC272:GC273" si="1111">+IF(FZ272=0,,FY272/FZ272*100)</f>
        <v>0</v>
      </c>
      <c r="GD272" s="20">
        <f t="shared" si="1075"/>
        <v>0</v>
      </c>
      <c r="GE272" s="42"/>
      <c r="GF272" s="42"/>
      <c r="GG272" s="42"/>
      <c r="GH272" s="42"/>
      <c r="GI272" s="42"/>
      <c r="GJ272" s="42"/>
      <c r="GK272" s="42"/>
      <c r="GL272" s="42"/>
      <c r="GM272" s="40"/>
      <c r="GN272" s="40"/>
      <c r="GO272" s="80"/>
      <c r="GP272" s="80"/>
      <c r="GQ272" s="22"/>
      <c r="GR272" s="80"/>
      <c r="GS272" s="80"/>
      <c r="GT272" s="22"/>
      <c r="GU272" s="43"/>
      <c r="GV272" s="41"/>
      <c r="GW272" s="41"/>
      <c r="GX272" s="145">
        <f>+SUM(GX273:GX296)</f>
        <v>0</v>
      </c>
      <c r="GY272" s="145">
        <f>+SUM(GY273:GY296)</f>
        <v>0</v>
      </c>
      <c r="GZ272" s="44">
        <f>+IF(GY272=0,,GX272/GY272*100)</f>
        <v>0</v>
      </c>
      <c r="HA272" s="80"/>
      <c r="HB272" s="80"/>
      <c r="HC272" s="22"/>
      <c r="HD272" s="80"/>
      <c r="HE272" s="80"/>
      <c r="HF272" s="22"/>
      <c r="HG272" s="233"/>
    </row>
    <row r="273" spans="2:215" ht="15.75">
      <c r="B273" s="10" t="s">
        <v>406</v>
      </c>
      <c r="C273" s="81" t="s">
        <v>152</v>
      </c>
      <c r="D273" s="143"/>
      <c r="E273" s="76"/>
      <c r="F273" s="74"/>
      <c r="G273" s="74"/>
      <c r="H273" s="74"/>
      <c r="I273" s="76"/>
      <c r="J273" s="74"/>
      <c r="K273" s="74"/>
      <c r="L273" s="74"/>
      <c r="M273" s="191"/>
      <c r="N273" s="191"/>
      <c r="O273" s="74"/>
      <c r="P273" s="74"/>
      <c r="Q273" s="74"/>
      <c r="R273" s="191"/>
      <c r="S273" s="74"/>
      <c r="T273" s="74"/>
      <c r="U273" s="74"/>
      <c r="V273" s="52"/>
      <c r="W273" s="52"/>
      <c r="X273" s="52"/>
      <c r="Y273" s="52"/>
      <c r="Z273" s="22"/>
      <c r="AA273" s="52"/>
      <c r="AB273" s="22"/>
      <c r="AC273" s="52"/>
      <c r="AD273" s="52"/>
      <c r="AE273" s="22"/>
      <c r="AF273" s="22"/>
      <c r="AG273" s="22">
        <f t="shared" ref="AG273:AG303" si="1112">+IF(AD273=0,,AF273/AD273*100)</f>
        <v>0</v>
      </c>
      <c r="AH273" s="52"/>
      <c r="AI273" s="52"/>
      <c r="AJ273" s="52"/>
      <c r="AK273" s="52"/>
      <c r="AL273" s="22"/>
      <c r="AM273" s="52"/>
      <c r="AN273" s="22"/>
      <c r="AO273" s="22"/>
      <c r="AP273" s="22"/>
      <c r="AQ273" s="22"/>
      <c r="AR273" s="22"/>
      <c r="AS273" s="22"/>
      <c r="AT273" s="22"/>
      <c r="AU273" s="22">
        <f t="shared" ref="AU273:AU303" si="1113">+IF(AR273=0,,AT273/AR273*100)</f>
        <v>0</v>
      </c>
      <c r="AV273" s="77"/>
      <c r="AW273" s="77"/>
      <c r="AX273" s="78"/>
      <c r="AY273" s="22">
        <f t="shared" ref="AY273:AY304" si="1114">+AZ273+BA273+BB273</f>
        <v>0</v>
      </c>
      <c r="AZ273" s="22"/>
      <c r="BA273" s="22"/>
      <c r="BB273" s="22"/>
      <c r="BC273" s="22"/>
      <c r="BD273" s="22"/>
      <c r="BE273" s="22">
        <f t="shared" ref="BE273:BE304" si="1115">+IF(BC273=0,,BD273/BC273*100)</f>
        <v>0</v>
      </c>
      <c r="BF273" s="22"/>
      <c r="BG273" s="22"/>
      <c r="BH273" s="22">
        <f t="shared" ref="BH273:BH304" si="1116">+IF(BF273=0,,BG273/BF273*100)</f>
        <v>0</v>
      </c>
      <c r="BI273" s="22"/>
      <c r="BJ273" s="40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48"/>
      <c r="CF273" s="48"/>
      <c r="CG273" s="48"/>
      <c r="CH273" s="48"/>
      <c r="CI273" s="48"/>
      <c r="CJ273" s="48"/>
      <c r="CK273" s="48"/>
      <c r="CL273" s="48"/>
      <c r="CM273" s="48"/>
      <c r="CN273" s="48"/>
      <c r="CO273" s="48"/>
      <c r="CP273" s="48"/>
      <c r="CQ273" s="48"/>
      <c r="CR273" s="48"/>
      <c r="CS273" s="48"/>
      <c r="CT273" s="48"/>
      <c r="CU273" s="48"/>
      <c r="CV273" s="48"/>
      <c r="CW273" s="19"/>
      <c r="CX273" s="19"/>
      <c r="CY273" s="19"/>
      <c r="CZ273" s="19"/>
      <c r="DA273" s="21"/>
      <c r="DB273" s="21"/>
      <c r="DC273" s="79"/>
      <c r="DD273" s="79"/>
      <c r="DE273" s="79"/>
      <c r="DF273" s="79"/>
      <c r="DG273" s="79"/>
      <c r="DH273" s="51"/>
      <c r="DI273" s="39"/>
      <c r="DJ273" s="80"/>
      <c r="DK273" s="39"/>
      <c r="DL273" s="39"/>
      <c r="DM273" s="48"/>
      <c r="DN273" s="39"/>
      <c r="DO273" s="39"/>
      <c r="DP273" s="39"/>
      <c r="DQ273" s="39"/>
      <c r="DR273" s="39"/>
      <c r="DS273" s="39"/>
      <c r="DT273" s="39"/>
      <c r="DU273" s="19">
        <f t="shared" ref="DU273:DU304" si="1117">+(BF273*AZ273)/1.18</f>
        <v>0</v>
      </c>
      <c r="DV273" s="40">
        <f t="shared" ref="DV273:DV304" si="1118">+(BG273*AZ273)/1.18</f>
        <v>0</v>
      </c>
      <c r="DW273" s="40">
        <f t="shared" ref="DW273:DW304" si="1119">+BD273*AZ273</f>
        <v>0</v>
      </c>
      <c r="DX273" s="46"/>
      <c r="DY273" s="21">
        <f t="shared" ref="DY273:DY304" si="1120">+IF(DW273=0,,DV273/DW273*100)</f>
        <v>0</v>
      </c>
      <c r="DZ273" s="19">
        <f t="shared" ref="DZ273:DZ304" si="1121">+BC273*AY273/1000</f>
        <v>0</v>
      </c>
      <c r="EA273" s="19">
        <f t="shared" ref="EA273:EA304" si="1122">+BD273*AY273/1000</f>
        <v>0</v>
      </c>
      <c r="EB273" s="19"/>
      <c r="EC273" s="48">
        <f t="shared" ref="EC273:EC290" si="1123">+(BC273-BF273/1.18)*AZ273/2</f>
        <v>0</v>
      </c>
      <c r="ED273" s="48">
        <f t="shared" ref="ED273:ED290" si="1124">+(BD273-BG273/1.18)*AZ273/2</f>
        <v>0</v>
      </c>
      <c r="EE273" s="22"/>
      <c r="EF273" s="22"/>
      <c r="EG273" s="22">
        <f t="shared" ref="EG273:EG303" si="1125">+IF(EE273=0,,EF273/EE273*100)</f>
        <v>0</v>
      </c>
      <c r="EH273" s="22"/>
      <c r="EI273" s="22"/>
      <c r="EJ273" s="22">
        <f t="shared" ref="EJ273:EJ303" si="1126">+IF(EH273=0,,EI273/EH273*100)</f>
        <v>0</v>
      </c>
      <c r="EK273" s="40"/>
      <c r="EL273" s="19"/>
      <c r="EM273" s="19"/>
      <c r="EN273" s="40">
        <f t="shared" ref="EN273:EN290" si="1127">+(EI273*EM273)/1.18</f>
        <v>0</v>
      </c>
      <c r="EO273" s="40">
        <f t="shared" si="1100"/>
        <v>0</v>
      </c>
      <c r="EP273" s="40"/>
      <c r="EQ273" s="21">
        <f t="shared" si="1098"/>
        <v>0</v>
      </c>
      <c r="ER273" s="21"/>
      <c r="ES273" s="21">
        <f t="shared" ref="ES273:ES290" si="1128">+EL273*EE273</f>
        <v>0</v>
      </c>
      <c r="ET273" s="21"/>
      <c r="EU273" s="19">
        <f t="shared" si="1102"/>
        <v>0</v>
      </c>
      <c r="EV273" s="21"/>
      <c r="EW273" s="39"/>
      <c r="EX273" s="39">
        <f t="shared" si="1099"/>
        <v>0</v>
      </c>
      <c r="EY273" s="39">
        <f t="shared" si="1079"/>
        <v>0</v>
      </c>
      <c r="EZ273" s="39"/>
      <c r="FA273" s="39"/>
      <c r="FB273" s="39"/>
      <c r="FC273" s="39"/>
      <c r="FD273" s="39"/>
      <c r="FE273" s="39"/>
      <c r="FF273" s="39"/>
      <c r="FG273" s="39"/>
      <c r="FH273" s="39"/>
      <c r="FI273" s="39"/>
      <c r="FJ273" s="19">
        <f t="shared" ref="FJ273:FJ290" si="1129">+(EE273-EH273/1.18)*EM273</f>
        <v>0</v>
      </c>
      <c r="FK273" s="19">
        <f t="shared" ref="FK273:FK290" si="1130">+(EF273-EI273/1.18)*EM273</f>
        <v>0</v>
      </c>
      <c r="FL273" s="19">
        <f t="shared" si="1101"/>
        <v>0</v>
      </c>
      <c r="FM273" s="19"/>
      <c r="FN273" s="19"/>
      <c r="FO273" s="22">
        <f t="shared" si="1108"/>
        <v>0</v>
      </c>
      <c r="FP273" s="22"/>
      <c r="FQ273" s="22"/>
      <c r="FR273" s="22">
        <f t="shared" si="1109"/>
        <v>0</v>
      </c>
      <c r="FS273" s="22"/>
      <c r="FT273" s="22"/>
      <c r="FU273" s="40"/>
      <c r="FV273" s="19">
        <f>+(FO273-FR273/1.18)*FN273</f>
        <v>0</v>
      </c>
      <c r="FW273" s="19">
        <f>+(FP273-FS273/1.18)*FN273</f>
        <v>0</v>
      </c>
      <c r="FX273" s="19">
        <f t="shared" ref="FX273" si="1131">+(FW273/2)-FV273/2</f>
        <v>0</v>
      </c>
      <c r="FY273" s="19">
        <f t="shared" ref="FY273" si="1132">+(FR273*EM273)/1.18</f>
        <v>0</v>
      </c>
      <c r="FZ273" s="19">
        <f t="shared" ref="FZ273" si="1133">+FO273*EM273</f>
        <v>0</v>
      </c>
      <c r="GA273" s="19">
        <f t="shared" ref="GA273" si="1134">+(FS273*EM273)/1.18</f>
        <v>0</v>
      </c>
      <c r="GB273" s="19">
        <f t="shared" ref="GB273" si="1135">+FP273*EM273</f>
        <v>0</v>
      </c>
      <c r="GC273" s="20">
        <f t="shared" si="1111"/>
        <v>0</v>
      </c>
      <c r="GD273" s="20">
        <f t="shared" si="1075"/>
        <v>0</v>
      </c>
      <c r="GE273" s="21"/>
      <c r="GF273" s="21">
        <f t="shared" ref="GF273" si="1136">+FR273*FN273</f>
        <v>0</v>
      </c>
      <c r="GG273" s="21"/>
      <c r="GH273" s="21"/>
      <c r="GI273" s="21">
        <f t="shared" ref="GI273" si="1137">+FP273*FM273</f>
        <v>0</v>
      </c>
      <c r="GJ273" s="21">
        <f t="shared" ref="GJ273" si="1138">+FS273*FN273</f>
        <v>0</v>
      </c>
      <c r="GK273" s="21"/>
      <c r="GL273" s="21"/>
      <c r="GM273" s="19"/>
      <c r="GN273" s="19"/>
      <c r="GO273" s="22"/>
      <c r="GP273" s="22"/>
      <c r="GQ273" s="22"/>
      <c r="GR273" s="22"/>
      <c r="GS273" s="22"/>
      <c r="GT273" s="22"/>
      <c r="GU273" s="43"/>
      <c r="GV273" s="19"/>
      <c r="GW273" s="19"/>
      <c r="GX273" s="19"/>
      <c r="GY273" s="19"/>
      <c r="GZ273" s="19"/>
      <c r="HA273" s="22"/>
      <c r="HB273" s="22"/>
      <c r="HC273" s="22"/>
      <c r="HD273" s="22"/>
      <c r="HE273" s="22"/>
      <c r="HF273" s="22"/>
      <c r="HG273" s="233"/>
    </row>
    <row r="274" spans="2:215" ht="15.75">
      <c r="B274" s="10"/>
      <c r="C274" s="161" t="s">
        <v>204</v>
      </c>
      <c r="D274" s="143"/>
      <c r="E274" s="76"/>
      <c r="F274" s="74"/>
      <c r="G274" s="74"/>
      <c r="H274" s="74"/>
      <c r="I274" s="76"/>
      <c r="J274" s="74"/>
      <c r="K274" s="74"/>
      <c r="L274" s="74"/>
      <c r="M274" s="191"/>
      <c r="N274" s="191"/>
      <c r="O274" s="74"/>
      <c r="P274" s="74"/>
      <c r="Q274" s="74"/>
      <c r="R274" s="191"/>
      <c r="S274" s="74"/>
      <c r="T274" s="74"/>
      <c r="U274" s="74"/>
      <c r="V274" s="52"/>
      <c r="W274" s="52"/>
      <c r="X274" s="52"/>
      <c r="Y274" s="52"/>
      <c r="Z274" s="22"/>
      <c r="AA274" s="52"/>
      <c r="AB274" s="22"/>
      <c r="AC274" s="52"/>
      <c r="AD274" s="52">
        <v>2523.4</v>
      </c>
      <c r="AE274" s="22">
        <f>+IF(AC274=0,,AF274/AC274*100)</f>
        <v>0</v>
      </c>
      <c r="AF274" s="22">
        <v>2523.4</v>
      </c>
      <c r="AG274" s="22">
        <f t="shared" si="1112"/>
        <v>100</v>
      </c>
      <c r="AH274" s="52"/>
      <c r="AI274" s="52"/>
      <c r="AJ274" s="52"/>
      <c r="AK274" s="52"/>
      <c r="AL274" s="22"/>
      <c r="AM274" s="52"/>
      <c r="AN274" s="22"/>
      <c r="AO274" s="22"/>
      <c r="AP274" s="22"/>
      <c r="AQ274" s="22"/>
      <c r="AR274" s="22">
        <v>1387.47</v>
      </c>
      <c r="AS274" s="22">
        <f>+IF(AQ274=0,,AT274/AQ274*100)</f>
        <v>0</v>
      </c>
      <c r="AT274" s="22">
        <v>1549.8</v>
      </c>
      <c r="AU274" s="22">
        <f t="shared" si="1113"/>
        <v>111.69971242621462</v>
      </c>
      <c r="AV274" s="77"/>
      <c r="AW274" s="77"/>
      <c r="AX274" s="78" t="s">
        <v>139</v>
      </c>
      <c r="AY274" s="22">
        <f t="shared" si="1114"/>
        <v>125.91002999999998</v>
      </c>
      <c r="AZ274" s="22">
        <f>+[8]БПр!$BX$802/1000</f>
        <v>86.922359999999983</v>
      </c>
      <c r="BA274" s="22">
        <f>+[8]БПр!$BW$802/1000</f>
        <v>24.74091</v>
      </c>
      <c r="BB274" s="22">
        <f>+[8]БПр!$BY$802/1000+[8]БПр!$BP$802/1000</f>
        <v>14.24676</v>
      </c>
      <c r="BC274" s="22">
        <v>2523.4</v>
      </c>
      <c r="BD274" s="22">
        <v>2629.38</v>
      </c>
      <c r="BE274" s="22">
        <f t="shared" si="1115"/>
        <v>104.19988903859871</v>
      </c>
      <c r="BF274" s="22">
        <v>1549.8</v>
      </c>
      <c r="BG274" s="22">
        <v>1614.89</v>
      </c>
      <c r="BH274" s="22">
        <f t="shared" si="1116"/>
        <v>104.19989676087238</v>
      </c>
      <c r="BI274" s="22">
        <f>+BD274-BG274/1.18</f>
        <v>1260.8291525423729</v>
      </c>
      <c r="BJ274" s="40" t="s">
        <v>140</v>
      </c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48"/>
      <c r="CF274" s="48"/>
      <c r="CG274" s="48"/>
      <c r="CH274" s="48"/>
      <c r="CI274" s="48"/>
      <c r="CJ274" s="48"/>
      <c r="CK274" s="48"/>
      <c r="CL274" s="48"/>
      <c r="CM274" s="48"/>
      <c r="CN274" s="48"/>
      <c r="CO274" s="48"/>
      <c r="CP274" s="48"/>
      <c r="CQ274" s="48"/>
      <c r="CR274" s="48"/>
      <c r="CS274" s="48"/>
      <c r="CT274" s="48"/>
      <c r="CU274" s="48"/>
      <c r="CV274" s="48"/>
      <c r="CW274" s="19"/>
      <c r="CX274" s="19"/>
      <c r="CY274" s="19"/>
      <c r="CZ274" s="19"/>
      <c r="DA274" s="21"/>
      <c r="DB274" s="21"/>
      <c r="DC274" s="79"/>
      <c r="DD274" s="79"/>
      <c r="DE274" s="79"/>
      <c r="DF274" s="79"/>
      <c r="DG274" s="79"/>
      <c r="DH274" s="51"/>
      <c r="DI274" s="39"/>
      <c r="DJ274" s="80"/>
      <c r="DK274" s="39"/>
      <c r="DL274" s="39"/>
      <c r="DM274" s="48"/>
      <c r="DN274" s="39"/>
      <c r="DO274" s="39"/>
      <c r="DP274" s="39"/>
      <c r="DQ274" s="39"/>
      <c r="DR274" s="39"/>
      <c r="DS274" s="39"/>
      <c r="DT274" s="39"/>
      <c r="DU274" s="19">
        <f t="shared" si="1117"/>
        <v>114162.94366779659</v>
      </c>
      <c r="DV274" s="40">
        <f t="shared" si="1118"/>
        <v>118957.66944101693</v>
      </c>
      <c r="DW274" s="40">
        <f t="shared" si="1119"/>
        <v>228551.91493679996</v>
      </c>
      <c r="DX274" s="21">
        <f>+('[1]тарифы (НВВ) население на 4,2%'!CL343+'[1]тарифы (НВВ) население на 4,2%'!CL352+'[1]тарифы (НВВ) население на 4,2%'!CL353+'[1]тарифы (НВВ) население на 4,2%'!CL354)/('[1]тарифы (НВВ) население на 4,2%'!CM343+'[1]тарифы (НВВ) население на 4,2%'!CM352+'[1]тарифы (НВВ) население на 4,2%'!CM353+'[1]тарифы (НВВ) население на 4,2%'!CM354)*100</f>
        <v>70.407439714433579</v>
      </c>
      <c r="DY274" s="21">
        <f t="shared" si="1120"/>
        <v>52.048423866372573</v>
      </c>
      <c r="DZ274" s="19">
        <f t="shared" si="1121"/>
        <v>317.72136970199995</v>
      </c>
      <c r="EA274" s="19">
        <f t="shared" si="1122"/>
        <v>331.06531468139997</v>
      </c>
      <c r="EB274" s="48">
        <v>1859.47</v>
      </c>
      <c r="EC274" s="48">
        <f>+(BC274-BF274/1.18)*AZ274</f>
        <v>105176.93955620338</v>
      </c>
      <c r="ED274" s="48">
        <f>+(BD274-BG274/1.18)*AZ274</f>
        <v>109594.24549578303</v>
      </c>
      <c r="EE274" s="22">
        <v>2629.38</v>
      </c>
      <c r="EF274" s="22">
        <v>2813.43</v>
      </c>
      <c r="EG274" s="22">
        <f t="shared" si="1125"/>
        <v>106.99974899025624</v>
      </c>
      <c r="EH274" s="22">
        <v>1614.89</v>
      </c>
      <c r="EI274" s="22">
        <v>1751.34</v>
      </c>
      <c r="EJ274" s="22">
        <f t="shared" si="1126"/>
        <v>108.44949191585805</v>
      </c>
      <c r="EK274" s="40" t="s">
        <v>141</v>
      </c>
      <c r="EL274" s="19">
        <v>118.59372999999999</v>
      </c>
      <c r="EM274" s="19">
        <v>82.299059999999997</v>
      </c>
      <c r="EN274" s="40">
        <f t="shared" si="1127"/>
        <v>122147.14893254238</v>
      </c>
      <c r="EO274" s="40">
        <f t="shared" si="1100"/>
        <v>231542.64437579998</v>
      </c>
      <c r="EP274" s="40"/>
      <c r="EQ274" s="21">
        <f t="shared" si="1098"/>
        <v>52.753629579480076</v>
      </c>
      <c r="ER274" s="21"/>
      <c r="ES274" s="21">
        <f t="shared" si="1128"/>
        <v>311827.98178739997</v>
      </c>
      <c r="ET274" s="21"/>
      <c r="EU274" s="19">
        <f t="shared" si="1102"/>
        <v>333655.15779389994</v>
      </c>
      <c r="EV274" s="21"/>
      <c r="EW274" s="39"/>
      <c r="EX274" s="39">
        <f t="shared" si="1099"/>
        <v>331065.31468139996</v>
      </c>
      <c r="EY274" s="39">
        <f t="shared" si="1079"/>
        <v>354239.05570289993</v>
      </c>
      <c r="EZ274" s="39"/>
      <c r="FA274" s="39"/>
      <c r="FB274" s="39"/>
      <c r="FC274" s="39"/>
      <c r="FD274" s="39"/>
      <c r="FE274" s="39"/>
      <c r="FF274" s="166"/>
      <c r="FG274" s="39"/>
      <c r="FH274" s="39"/>
      <c r="FI274" s="39"/>
      <c r="FJ274" s="19">
        <f t="shared" si="1129"/>
        <v>103765.0540748339</v>
      </c>
      <c r="FK274" s="19">
        <f t="shared" si="1130"/>
        <v>109395.49544325761</v>
      </c>
      <c r="FL274" s="19">
        <f t="shared" si="1101"/>
        <v>213160.54951809149</v>
      </c>
      <c r="FM274" s="19">
        <f>111.684</f>
        <v>111.684</v>
      </c>
      <c r="FN274" s="19">
        <v>78.923000000000002</v>
      </c>
      <c r="FO274" s="22">
        <v>3013.12</v>
      </c>
      <c r="FP274" s="22">
        <v>3083.47</v>
      </c>
      <c r="FQ274" s="22"/>
      <c r="FR274" s="22">
        <v>2119.1</v>
      </c>
      <c r="FS274" s="22">
        <v>2203.86</v>
      </c>
      <c r="FT274" s="22"/>
      <c r="FU274" s="40" t="s">
        <v>624</v>
      </c>
      <c r="FV274" s="19"/>
      <c r="FW274" s="19"/>
      <c r="FX274" s="19"/>
      <c r="FY274" s="19"/>
      <c r="FZ274" s="19"/>
      <c r="GA274" s="19"/>
      <c r="GB274" s="19"/>
      <c r="GC274" s="20"/>
      <c r="GD274" s="20"/>
      <c r="GE274" s="21"/>
      <c r="GF274" s="21"/>
      <c r="GG274" s="21"/>
      <c r="GH274" s="21"/>
      <c r="GI274" s="21"/>
      <c r="GJ274" s="21"/>
      <c r="GK274" s="21"/>
      <c r="GL274" s="21"/>
      <c r="GM274" s="19"/>
      <c r="GN274" s="19"/>
      <c r="GO274" s="22">
        <v>3083.47</v>
      </c>
      <c r="GP274" s="22">
        <v>3217.34</v>
      </c>
      <c r="GQ274" s="22"/>
      <c r="GR274" s="22">
        <v>2203.86</v>
      </c>
      <c r="GS274" s="22">
        <v>2287.61</v>
      </c>
      <c r="GT274" s="22"/>
      <c r="GU274" s="40" t="s">
        <v>624</v>
      </c>
      <c r="GV274" s="19"/>
      <c r="GW274" s="19"/>
      <c r="GX274" s="19"/>
      <c r="GY274" s="19"/>
      <c r="GZ274" s="23"/>
      <c r="HA274" s="22">
        <v>3217.34</v>
      </c>
      <c r="HB274" s="22">
        <v>3305.42</v>
      </c>
      <c r="HC274" s="22"/>
      <c r="HD274" s="22">
        <v>2287.61</v>
      </c>
      <c r="HE274" s="22">
        <v>2379.11</v>
      </c>
      <c r="HF274" s="22"/>
      <c r="HG274" s="236" t="s">
        <v>624</v>
      </c>
    </row>
    <row r="275" spans="2:215" ht="15.75">
      <c r="B275" s="10"/>
      <c r="C275" s="184" t="s">
        <v>300</v>
      </c>
      <c r="D275" s="143"/>
      <c r="E275" s="76"/>
      <c r="F275" s="74"/>
      <c r="G275" s="74"/>
      <c r="H275" s="74"/>
      <c r="I275" s="76"/>
      <c r="J275" s="74"/>
      <c r="K275" s="74"/>
      <c r="L275" s="74"/>
      <c r="M275" s="191"/>
      <c r="N275" s="191"/>
      <c r="O275" s="74"/>
      <c r="P275" s="74"/>
      <c r="Q275" s="74"/>
      <c r="R275" s="191"/>
      <c r="S275" s="74"/>
      <c r="T275" s="74"/>
      <c r="U275" s="74"/>
      <c r="V275" s="52"/>
      <c r="W275" s="52"/>
      <c r="X275" s="52"/>
      <c r="Y275" s="52"/>
      <c r="Z275" s="22"/>
      <c r="AA275" s="52"/>
      <c r="AB275" s="22"/>
      <c r="AC275" s="52"/>
      <c r="AD275" s="22">
        <v>163.59</v>
      </c>
      <c r="AE275" s="22">
        <f>+IF(AC275=0,,AF275/AC275*100)</f>
        <v>0</v>
      </c>
      <c r="AF275" s="22">
        <v>163.59</v>
      </c>
      <c r="AG275" s="22">
        <f t="shared" si="1112"/>
        <v>100</v>
      </c>
      <c r="AH275" s="52"/>
      <c r="AI275" s="52"/>
      <c r="AJ275" s="52"/>
      <c r="AK275" s="52"/>
      <c r="AL275" s="22"/>
      <c r="AM275" s="52"/>
      <c r="AN275" s="22"/>
      <c r="AO275" s="22"/>
      <c r="AP275" s="22"/>
      <c r="AQ275" s="22"/>
      <c r="AR275" s="22">
        <v>98.44</v>
      </c>
      <c r="AS275" s="22">
        <f>+IF(AQ275=0,,AT275/AQ275*100)</f>
        <v>0</v>
      </c>
      <c r="AT275" s="22">
        <v>109.78</v>
      </c>
      <c r="AU275" s="22">
        <f t="shared" si="1113"/>
        <v>111.51970743600164</v>
      </c>
      <c r="AV275" s="77"/>
      <c r="AW275" s="77"/>
      <c r="AX275" s="78" t="s">
        <v>156</v>
      </c>
      <c r="AY275" s="22">
        <f t="shared" si="1114"/>
        <v>0</v>
      </c>
      <c r="AZ275" s="22"/>
      <c r="BA275" s="22"/>
      <c r="BB275" s="22"/>
      <c r="BC275" s="22"/>
      <c r="BD275" s="22"/>
      <c r="BE275" s="22">
        <f t="shared" si="1115"/>
        <v>0</v>
      </c>
      <c r="BF275" s="22">
        <v>109.78</v>
      </c>
      <c r="BG275" s="22">
        <v>114.39</v>
      </c>
      <c r="BH275" s="22">
        <f t="shared" si="1116"/>
        <v>104.19930770632173</v>
      </c>
      <c r="BI275" s="22"/>
      <c r="BJ275" s="40" t="s">
        <v>157</v>
      </c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48"/>
      <c r="CF275" s="48"/>
      <c r="CG275" s="48"/>
      <c r="CH275" s="48"/>
      <c r="CI275" s="48"/>
      <c r="CJ275" s="48"/>
      <c r="CK275" s="48"/>
      <c r="CL275" s="48"/>
      <c r="CM275" s="48"/>
      <c r="CN275" s="48"/>
      <c r="CO275" s="48"/>
      <c r="CP275" s="48"/>
      <c r="CQ275" s="48"/>
      <c r="CR275" s="48"/>
      <c r="CS275" s="48"/>
      <c r="CT275" s="48"/>
      <c r="CU275" s="48"/>
      <c r="CV275" s="48"/>
      <c r="CW275" s="19"/>
      <c r="CX275" s="19"/>
      <c r="CY275" s="19"/>
      <c r="CZ275" s="19"/>
      <c r="DA275" s="21"/>
      <c r="DB275" s="21"/>
      <c r="DC275" s="79"/>
      <c r="DD275" s="79"/>
      <c r="DE275" s="79"/>
      <c r="DF275" s="79"/>
      <c r="DG275" s="79"/>
      <c r="DH275" s="51"/>
      <c r="DI275" s="39"/>
      <c r="DJ275" s="80"/>
      <c r="DK275" s="39"/>
      <c r="DL275" s="39"/>
      <c r="DM275" s="48"/>
      <c r="DN275" s="39"/>
      <c r="DO275" s="39"/>
      <c r="DP275" s="39"/>
      <c r="DQ275" s="39"/>
      <c r="DR275" s="39"/>
      <c r="DS275" s="39"/>
      <c r="DT275" s="39"/>
      <c r="DU275" s="19">
        <f t="shared" si="1117"/>
        <v>0</v>
      </c>
      <c r="DV275" s="40">
        <f>+'[1]тарифы (НВВ) население на 4,2%'!CL345*1.042</f>
        <v>15203.153029924611</v>
      </c>
      <c r="DW275" s="40">
        <f>+'[1]тарифы (НВВ) население на 4,2%'!CM345*1.042</f>
        <v>22006.706257986723</v>
      </c>
      <c r="DX275" s="46"/>
      <c r="DY275" s="21">
        <f t="shared" si="1120"/>
        <v>69.08418212019825</v>
      </c>
      <c r="DZ275" s="19">
        <f t="shared" si="1121"/>
        <v>0</v>
      </c>
      <c r="EA275" s="19">
        <f t="shared" si="1122"/>
        <v>0</v>
      </c>
      <c r="EB275" s="19"/>
      <c r="EC275" s="48">
        <f t="shared" si="1123"/>
        <v>0</v>
      </c>
      <c r="ED275" s="48">
        <f t="shared" si="1124"/>
        <v>0</v>
      </c>
      <c r="EE275" s="22">
        <v>170.46</v>
      </c>
      <c r="EF275" s="22">
        <v>182.25</v>
      </c>
      <c r="EG275" s="22">
        <f t="shared" si="1125"/>
        <v>106.91657866948256</v>
      </c>
      <c r="EH275" s="22">
        <v>114.39</v>
      </c>
      <c r="EI275" s="22">
        <v>124.05</v>
      </c>
      <c r="EJ275" s="22">
        <f t="shared" si="1126"/>
        <v>108.44479412536062</v>
      </c>
      <c r="EK275" s="40" t="s">
        <v>158</v>
      </c>
      <c r="EL275" s="19">
        <v>157.96539999999999</v>
      </c>
      <c r="EM275" s="19">
        <v>119.62800999999999</v>
      </c>
      <c r="EN275" s="40">
        <f t="shared" si="1127"/>
        <v>12576.148000423727</v>
      </c>
      <c r="EO275" s="40">
        <f t="shared" si="1100"/>
        <v>21802.204822499996</v>
      </c>
      <c r="EP275" s="40"/>
      <c r="EQ275" s="21">
        <f t="shared" si="1098"/>
        <v>57.682918323219646</v>
      </c>
      <c r="ER275" s="21"/>
      <c r="ES275" s="21">
        <f t="shared" si="1128"/>
        <v>26926.782083999999</v>
      </c>
      <c r="ET275" s="21"/>
      <c r="EU275" s="19">
        <f t="shared" si="1102"/>
        <v>28789.194149999999</v>
      </c>
      <c r="EV275" s="21"/>
      <c r="EW275" s="39"/>
      <c r="EX275" s="39">
        <f t="shared" si="1099"/>
        <v>0</v>
      </c>
      <c r="EY275" s="39">
        <f t="shared" si="1079"/>
        <v>0</v>
      </c>
      <c r="EZ275" s="39"/>
      <c r="FA275" s="39"/>
      <c r="FB275" s="39"/>
      <c r="FC275" s="39"/>
      <c r="FD275" s="39"/>
      <c r="FE275" s="39"/>
      <c r="FF275" s="166"/>
      <c r="FG275" s="39"/>
      <c r="FH275" s="39"/>
      <c r="FI275" s="39"/>
      <c r="FJ275" s="19">
        <f t="shared" si="1129"/>
        <v>8794.9701914644065</v>
      </c>
      <c r="FK275" s="19">
        <f t="shared" si="1130"/>
        <v>9226.0568220762689</v>
      </c>
      <c r="FL275" s="19">
        <f t="shared" si="1101"/>
        <v>18021.027013540675</v>
      </c>
      <c r="FM275" s="19">
        <v>150.70400000000001</v>
      </c>
      <c r="FN275" s="19">
        <v>114.21899999999999</v>
      </c>
      <c r="FO275" s="22">
        <v>199.49</v>
      </c>
      <c r="FP275" s="22">
        <v>204.62</v>
      </c>
      <c r="FQ275" s="22"/>
      <c r="FR275" s="22">
        <v>152.99</v>
      </c>
      <c r="FS275" s="22">
        <v>159.11000000000001</v>
      </c>
      <c r="FT275" s="22"/>
      <c r="FU275" s="40" t="s">
        <v>631</v>
      </c>
      <c r="FV275" s="19"/>
      <c r="FW275" s="19"/>
      <c r="FX275" s="19"/>
      <c r="FY275" s="19"/>
      <c r="FZ275" s="19"/>
      <c r="GA275" s="19"/>
      <c r="GB275" s="19"/>
      <c r="GC275" s="20"/>
      <c r="GD275" s="20"/>
      <c r="GE275" s="21"/>
      <c r="GF275" s="21"/>
      <c r="GG275" s="21"/>
      <c r="GH275" s="21"/>
      <c r="GI275" s="21"/>
      <c r="GJ275" s="21"/>
      <c r="GK275" s="21"/>
      <c r="GL275" s="21"/>
      <c r="GM275" s="19"/>
      <c r="GN275" s="19"/>
      <c r="GO275" s="22">
        <v>204.62</v>
      </c>
      <c r="GP275" s="22">
        <v>212.4</v>
      </c>
      <c r="GQ275" s="22"/>
      <c r="GR275" s="22">
        <v>159.11000000000001</v>
      </c>
      <c r="GS275" s="22">
        <v>165.16</v>
      </c>
      <c r="GT275" s="22"/>
      <c r="GU275" s="40" t="s">
        <v>631</v>
      </c>
      <c r="GV275" s="19"/>
      <c r="GW275" s="19"/>
      <c r="GX275" s="19"/>
      <c r="GY275" s="19"/>
      <c r="GZ275" s="23"/>
      <c r="HA275" s="22">
        <v>212.4</v>
      </c>
      <c r="HB275" s="22">
        <v>220.9</v>
      </c>
      <c r="HC275" s="22"/>
      <c r="HD275" s="22">
        <v>165.16</v>
      </c>
      <c r="HE275" s="22">
        <v>171.76</v>
      </c>
      <c r="HF275" s="22"/>
      <c r="HG275" s="236" t="s">
        <v>631</v>
      </c>
    </row>
    <row r="276" spans="2:215" ht="32.25" customHeight="1">
      <c r="B276" s="10" t="s">
        <v>407</v>
      </c>
      <c r="C276" s="174" t="s">
        <v>408</v>
      </c>
      <c r="D276" s="143"/>
      <c r="E276" s="76"/>
      <c r="F276" s="74"/>
      <c r="G276" s="74"/>
      <c r="H276" s="74"/>
      <c r="I276" s="76"/>
      <c r="J276" s="74"/>
      <c r="K276" s="74"/>
      <c r="L276" s="74"/>
      <c r="M276" s="191"/>
      <c r="N276" s="191"/>
      <c r="O276" s="74"/>
      <c r="P276" s="74"/>
      <c r="Q276" s="74"/>
      <c r="R276" s="191"/>
      <c r="S276" s="74"/>
      <c r="T276" s="74"/>
      <c r="U276" s="74"/>
      <c r="V276" s="52"/>
      <c r="W276" s="52"/>
      <c r="X276" s="52"/>
      <c r="Y276" s="52"/>
      <c r="Z276" s="22"/>
      <c r="AA276" s="52"/>
      <c r="AB276" s="22"/>
      <c r="AC276" s="52"/>
      <c r="AD276" s="52"/>
      <c r="AE276" s="22"/>
      <c r="AF276" s="52"/>
      <c r="AG276" s="22"/>
      <c r="AH276" s="52"/>
      <c r="AI276" s="52"/>
      <c r="AJ276" s="52"/>
      <c r="AK276" s="52"/>
      <c r="AL276" s="22"/>
      <c r="AM276" s="52"/>
      <c r="AN276" s="22"/>
      <c r="AO276" s="22"/>
      <c r="AP276" s="22"/>
      <c r="AQ276" s="22"/>
      <c r="AR276" s="22"/>
      <c r="AS276" s="22"/>
      <c r="AT276" s="22"/>
      <c r="AU276" s="22"/>
      <c r="AV276" s="77"/>
      <c r="AW276" s="77"/>
      <c r="AX276" s="78"/>
      <c r="AY276" s="22"/>
      <c r="AZ276" s="22"/>
      <c r="BA276" s="22"/>
      <c r="BB276" s="22"/>
      <c r="BC276" s="52"/>
      <c r="BD276" s="52"/>
      <c r="BE276" s="22"/>
      <c r="BF276" s="22"/>
      <c r="BG276" s="22"/>
      <c r="BH276" s="22"/>
      <c r="BI276" s="22"/>
      <c r="BJ276" s="78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48"/>
      <c r="CF276" s="48"/>
      <c r="CG276" s="48"/>
      <c r="CH276" s="48"/>
      <c r="CI276" s="48"/>
      <c r="CJ276" s="48"/>
      <c r="CK276" s="48"/>
      <c r="CL276" s="48"/>
      <c r="CM276" s="48"/>
      <c r="CN276" s="48"/>
      <c r="CO276" s="48"/>
      <c r="CP276" s="48"/>
      <c r="CQ276" s="48"/>
      <c r="CR276" s="48"/>
      <c r="CS276" s="48"/>
      <c r="CT276" s="48"/>
      <c r="CU276" s="48"/>
      <c r="CV276" s="48"/>
      <c r="CW276" s="19"/>
      <c r="CX276" s="19"/>
      <c r="CY276" s="19"/>
      <c r="CZ276" s="19"/>
      <c r="DA276" s="21"/>
      <c r="DB276" s="21"/>
      <c r="DC276" s="79"/>
      <c r="DD276" s="79"/>
      <c r="DE276" s="79"/>
      <c r="DF276" s="79"/>
      <c r="DG276" s="79"/>
      <c r="DH276" s="51"/>
      <c r="DI276" s="39"/>
      <c r="DJ276" s="80"/>
      <c r="DK276" s="39"/>
      <c r="DL276" s="39"/>
      <c r="DM276" s="48"/>
      <c r="DN276" s="39"/>
      <c r="DO276" s="39"/>
      <c r="DP276" s="39"/>
      <c r="DQ276" s="39"/>
      <c r="DR276" s="39"/>
      <c r="DS276" s="39"/>
      <c r="DT276" s="39"/>
      <c r="DU276" s="19"/>
      <c r="DV276" s="40"/>
      <c r="DW276" s="40"/>
      <c r="DX276" s="46"/>
      <c r="DY276" s="21"/>
      <c r="DZ276" s="19"/>
      <c r="EA276" s="19"/>
      <c r="EB276" s="19"/>
      <c r="EC276" s="48"/>
      <c r="ED276" s="48"/>
      <c r="EE276" s="52"/>
      <c r="EF276" s="52"/>
      <c r="EG276" s="22"/>
      <c r="EH276" s="22"/>
      <c r="EI276" s="22"/>
      <c r="EJ276" s="22"/>
      <c r="EK276" s="78"/>
      <c r="EL276" s="19"/>
      <c r="EM276" s="19"/>
      <c r="EN276" s="40"/>
      <c r="EO276" s="40"/>
      <c r="EP276" s="40"/>
      <c r="EQ276" s="21"/>
      <c r="ER276" s="21"/>
      <c r="ES276" s="21"/>
      <c r="ET276" s="21"/>
      <c r="EU276" s="19"/>
      <c r="EV276" s="21"/>
      <c r="EW276" s="39"/>
      <c r="EX276" s="39"/>
      <c r="EY276" s="39"/>
      <c r="EZ276" s="39"/>
      <c r="FA276" s="39"/>
      <c r="FB276" s="39"/>
      <c r="FC276" s="39"/>
      <c r="FD276" s="39"/>
      <c r="FE276" s="166"/>
      <c r="FF276" s="166"/>
      <c r="FG276" s="39"/>
      <c r="FH276" s="39"/>
      <c r="FI276" s="39"/>
      <c r="FJ276" s="19"/>
      <c r="FK276" s="19"/>
      <c r="FL276" s="19"/>
      <c r="FM276" s="19"/>
      <c r="FN276" s="19"/>
      <c r="FO276" s="52"/>
      <c r="FP276" s="22"/>
      <c r="FQ276" s="22"/>
      <c r="FR276" s="52"/>
      <c r="FS276" s="52"/>
      <c r="FT276" s="22"/>
      <c r="FU276" s="78"/>
      <c r="FV276" s="19"/>
      <c r="FW276" s="19"/>
      <c r="FX276" s="19"/>
      <c r="FY276" s="19"/>
      <c r="FZ276" s="19"/>
      <c r="GA276" s="19"/>
      <c r="GB276" s="19"/>
      <c r="GC276" s="20"/>
      <c r="GD276" s="20"/>
      <c r="GE276" s="21"/>
      <c r="GF276" s="21"/>
      <c r="GG276" s="21"/>
      <c r="GH276" s="21"/>
      <c r="GI276" s="21"/>
      <c r="GJ276" s="21"/>
      <c r="GK276" s="21"/>
      <c r="GL276" s="21"/>
      <c r="GM276" s="19"/>
      <c r="GN276" s="19"/>
      <c r="GO276" s="52"/>
      <c r="GP276" s="22"/>
      <c r="GQ276" s="22"/>
      <c r="GR276" s="52"/>
      <c r="GS276" s="52"/>
      <c r="GT276" s="22"/>
      <c r="GU276" s="78"/>
      <c r="GV276" s="19"/>
      <c r="GW276" s="19"/>
      <c r="GX276" s="19"/>
      <c r="GY276" s="19"/>
      <c r="GZ276" s="23"/>
      <c r="HA276" s="22"/>
      <c r="HB276" s="22"/>
      <c r="HC276" s="22"/>
      <c r="HD276" s="52"/>
      <c r="HE276" s="52"/>
      <c r="HF276" s="22"/>
      <c r="HG276" s="234"/>
    </row>
    <row r="277" spans="2:215" ht="15.75">
      <c r="B277" s="10"/>
      <c r="C277" s="184" t="s">
        <v>131</v>
      </c>
      <c r="D277" s="143"/>
      <c r="E277" s="76"/>
      <c r="F277" s="74"/>
      <c r="G277" s="74"/>
      <c r="H277" s="74"/>
      <c r="I277" s="76"/>
      <c r="J277" s="74"/>
      <c r="K277" s="74"/>
      <c r="L277" s="74"/>
      <c r="M277" s="191"/>
      <c r="N277" s="191"/>
      <c r="O277" s="74"/>
      <c r="P277" s="74"/>
      <c r="Q277" s="74"/>
      <c r="R277" s="191"/>
      <c r="S277" s="74"/>
      <c r="T277" s="74"/>
      <c r="U277" s="74"/>
      <c r="V277" s="52"/>
      <c r="W277" s="52"/>
      <c r="X277" s="52"/>
      <c r="Y277" s="52"/>
      <c r="Z277" s="22"/>
      <c r="AA277" s="52"/>
      <c r="AB277" s="22"/>
      <c r="AC277" s="52"/>
      <c r="AD277" s="52"/>
      <c r="AE277" s="22"/>
      <c r="AF277" s="52"/>
      <c r="AG277" s="22"/>
      <c r="AH277" s="52"/>
      <c r="AI277" s="52"/>
      <c r="AJ277" s="52"/>
      <c r="AK277" s="52"/>
      <c r="AL277" s="22"/>
      <c r="AM277" s="52"/>
      <c r="AN277" s="22"/>
      <c r="AO277" s="22"/>
      <c r="AP277" s="22"/>
      <c r="AQ277" s="22"/>
      <c r="AR277" s="22"/>
      <c r="AS277" s="22"/>
      <c r="AT277" s="22"/>
      <c r="AU277" s="22"/>
      <c r="AV277" s="77"/>
      <c r="AW277" s="77"/>
      <c r="AX277" s="78"/>
      <c r="AY277" s="22"/>
      <c r="AZ277" s="22"/>
      <c r="BA277" s="22"/>
      <c r="BB277" s="22"/>
      <c r="BC277" s="52"/>
      <c r="BD277" s="52"/>
      <c r="BE277" s="22"/>
      <c r="BF277" s="22"/>
      <c r="BG277" s="22"/>
      <c r="BH277" s="22"/>
      <c r="BI277" s="22"/>
      <c r="BJ277" s="78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48"/>
      <c r="CF277" s="48"/>
      <c r="CG277" s="48"/>
      <c r="CH277" s="48"/>
      <c r="CI277" s="48"/>
      <c r="CJ277" s="48"/>
      <c r="CK277" s="48"/>
      <c r="CL277" s="48"/>
      <c r="CM277" s="48"/>
      <c r="CN277" s="48"/>
      <c r="CO277" s="48"/>
      <c r="CP277" s="48"/>
      <c r="CQ277" s="48"/>
      <c r="CR277" s="48"/>
      <c r="CS277" s="48"/>
      <c r="CT277" s="48"/>
      <c r="CU277" s="48"/>
      <c r="CV277" s="48"/>
      <c r="CW277" s="19"/>
      <c r="CX277" s="19"/>
      <c r="CY277" s="19"/>
      <c r="CZ277" s="19"/>
      <c r="DA277" s="21"/>
      <c r="DB277" s="21"/>
      <c r="DC277" s="79"/>
      <c r="DD277" s="79"/>
      <c r="DE277" s="79"/>
      <c r="DF277" s="79"/>
      <c r="DG277" s="79"/>
      <c r="DH277" s="51"/>
      <c r="DI277" s="39"/>
      <c r="DJ277" s="80"/>
      <c r="DK277" s="39"/>
      <c r="DL277" s="39"/>
      <c r="DM277" s="48"/>
      <c r="DN277" s="39"/>
      <c r="DO277" s="39"/>
      <c r="DP277" s="39"/>
      <c r="DQ277" s="39"/>
      <c r="DR277" s="39"/>
      <c r="DS277" s="39"/>
      <c r="DT277" s="39"/>
      <c r="DU277" s="19"/>
      <c r="DV277" s="40"/>
      <c r="DW277" s="40"/>
      <c r="DX277" s="46"/>
      <c r="DY277" s="21"/>
      <c r="DZ277" s="19"/>
      <c r="EA277" s="19"/>
      <c r="EB277" s="19"/>
      <c r="EC277" s="48"/>
      <c r="ED277" s="48"/>
      <c r="EE277" s="52"/>
      <c r="EF277" s="52"/>
      <c r="EG277" s="22"/>
      <c r="EH277" s="22"/>
      <c r="EI277" s="22"/>
      <c r="EJ277" s="22"/>
      <c r="EK277" s="78"/>
      <c r="EL277" s="19"/>
      <c r="EM277" s="19"/>
      <c r="EN277" s="40"/>
      <c r="EO277" s="40"/>
      <c r="EP277" s="40"/>
      <c r="EQ277" s="21"/>
      <c r="ER277" s="21"/>
      <c r="ES277" s="21"/>
      <c r="ET277" s="21"/>
      <c r="EU277" s="19"/>
      <c r="EV277" s="21"/>
      <c r="EW277" s="39"/>
      <c r="EX277" s="39"/>
      <c r="EY277" s="39"/>
      <c r="EZ277" s="39"/>
      <c r="FA277" s="39"/>
      <c r="FB277" s="39"/>
      <c r="FC277" s="39"/>
      <c r="FD277" s="39"/>
      <c r="FE277" s="166"/>
      <c r="FF277" s="166"/>
      <c r="FG277" s="39"/>
      <c r="FH277" s="39"/>
      <c r="FI277" s="39"/>
      <c r="FJ277" s="19"/>
      <c r="FK277" s="19"/>
      <c r="FL277" s="19"/>
      <c r="FM277" s="19">
        <v>2580.15</v>
      </c>
      <c r="FN277" s="19">
        <v>1570.79</v>
      </c>
      <c r="FO277" s="52">
        <v>33.58</v>
      </c>
      <c r="FP277" s="22">
        <v>34.840000000000003</v>
      </c>
      <c r="FQ277" s="22"/>
      <c r="FR277" s="52">
        <v>26.98</v>
      </c>
      <c r="FS277" s="22">
        <v>28.06</v>
      </c>
      <c r="FT277" s="22"/>
      <c r="FU277" s="239" t="s">
        <v>687</v>
      </c>
      <c r="FV277" s="19"/>
      <c r="FW277" s="19"/>
      <c r="FX277" s="19"/>
      <c r="FY277" s="19"/>
      <c r="FZ277" s="19"/>
      <c r="GA277" s="19"/>
      <c r="GB277" s="19"/>
      <c r="GC277" s="20"/>
      <c r="GD277" s="20"/>
      <c r="GE277" s="21"/>
      <c r="GF277" s="21"/>
      <c r="GG277" s="21"/>
      <c r="GH277" s="21"/>
      <c r="GI277" s="21"/>
      <c r="GJ277" s="21"/>
      <c r="GK277" s="21"/>
      <c r="GL277" s="21"/>
      <c r="GM277" s="19"/>
      <c r="GN277" s="19"/>
      <c r="GO277" s="52" t="s">
        <v>633</v>
      </c>
      <c r="GP277" s="22" t="s">
        <v>633</v>
      </c>
      <c r="GQ277" s="22"/>
      <c r="GR277" s="22" t="s">
        <v>633</v>
      </c>
      <c r="GS277" s="22" t="s">
        <v>633</v>
      </c>
      <c r="GT277" s="22"/>
      <c r="GU277" s="239" t="s">
        <v>633</v>
      </c>
      <c r="GV277" s="19"/>
      <c r="GW277" s="19"/>
      <c r="GX277" s="19"/>
      <c r="GY277" s="19"/>
      <c r="GZ277" s="23"/>
      <c r="HA277" s="52" t="s">
        <v>633</v>
      </c>
      <c r="HB277" s="22" t="s">
        <v>633</v>
      </c>
      <c r="HC277" s="22"/>
      <c r="HD277" s="22" t="s">
        <v>633</v>
      </c>
      <c r="HE277" s="22" t="s">
        <v>633</v>
      </c>
      <c r="HF277" s="22"/>
      <c r="HG277" s="239" t="s">
        <v>633</v>
      </c>
    </row>
    <row r="278" spans="2:215" ht="15.75">
      <c r="B278" s="10"/>
      <c r="C278" s="184" t="s">
        <v>249</v>
      </c>
      <c r="D278" s="143"/>
      <c r="E278" s="76"/>
      <c r="F278" s="74"/>
      <c r="G278" s="74"/>
      <c r="H278" s="74"/>
      <c r="I278" s="76"/>
      <c r="J278" s="74"/>
      <c r="K278" s="74"/>
      <c r="L278" s="74"/>
      <c r="M278" s="191"/>
      <c r="N278" s="191"/>
      <c r="O278" s="74"/>
      <c r="P278" s="74"/>
      <c r="Q278" s="74"/>
      <c r="R278" s="191"/>
      <c r="S278" s="74"/>
      <c r="T278" s="74"/>
      <c r="U278" s="74"/>
      <c r="V278" s="52"/>
      <c r="W278" s="52"/>
      <c r="X278" s="52"/>
      <c r="Y278" s="52"/>
      <c r="Z278" s="22"/>
      <c r="AA278" s="52"/>
      <c r="AB278" s="22"/>
      <c r="AC278" s="52"/>
      <c r="AD278" s="52"/>
      <c r="AE278" s="22"/>
      <c r="AF278" s="52"/>
      <c r="AG278" s="22"/>
      <c r="AH278" s="52"/>
      <c r="AI278" s="52"/>
      <c r="AJ278" s="52"/>
      <c r="AK278" s="52"/>
      <c r="AL278" s="22"/>
      <c r="AM278" s="52"/>
      <c r="AN278" s="22"/>
      <c r="AO278" s="22"/>
      <c r="AP278" s="22"/>
      <c r="AQ278" s="22"/>
      <c r="AR278" s="22"/>
      <c r="AS278" s="22"/>
      <c r="AT278" s="22"/>
      <c r="AU278" s="22"/>
      <c r="AV278" s="77"/>
      <c r="AW278" s="77"/>
      <c r="AX278" s="78"/>
      <c r="AY278" s="22"/>
      <c r="AZ278" s="22"/>
      <c r="BA278" s="22"/>
      <c r="BB278" s="22"/>
      <c r="BC278" s="52"/>
      <c r="BD278" s="52"/>
      <c r="BE278" s="22"/>
      <c r="BF278" s="22"/>
      <c r="BG278" s="22"/>
      <c r="BH278" s="22"/>
      <c r="BI278" s="22"/>
      <c r="BJ278" s="78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48"/>
      <c r="CF278" s="48"/>
      <c r="CG278" s="48"/>
      <c r="CH278" s="48"/>
      <c r="CI278" s="48"/>
      <c r="CJ278" s="48"/>
      <c r="CK278" s="48"/>
      <c r="CL278" s="48"/>
      <c r="CM278" s="48"/>
      <c r="CN278" s="48"/>
      <c r="CO278" s="48"/>
      <c r="CP278" s="48"/>
      <c r="CQ278" s="48"/>
      <c r="CR278" s="48"/>
      <c r="CS278" s="48"/>
      <c r="CT278" s="48"/>
      <c r="CU278" s="48"/>
      <c r="CV278" s="48"/>
      <c r="CW278" s="19"/>
      <c r="CX278" s="19"/>
      <c r="CY278" s="19"/>
      <c r="CZ278" s="19"/>
      <c r="DA278" s="21"/>
      <c r="DB278" s="21"/>
      <c r="DC278" s="79"/>
      <c r="DD278" s="79"/>
      <c r="DE278" s="79"/>
      <c r="DF278" s="79"/>
      <c r="DG278" s="79"/>
      <c r="DH278" s="51"/>
      <c r="DI278" s="39"/>
      <c r="DJ278" s="80"/>
      <c r="DK278" s="39"/>
      <c r="DL278" s="39"/>
      <c r="DM278" s="48"/>
      <c r="DN278" s="39"/>
      <c r="DO278" s="39"/>
      <c r="DP278" s="39"/>
      <c r="DQ278" s="39"/>
      <c r="DR278" s="39"/>
      <c r="DS278" s="39"/>
      <c r="DT278" s="39"/>
      <c r="DU278" s="19"/>
      <c r="DV278" s="40"/>
      <c r="DW278" s="40"/>
      <c r="DX278" s="46"/>
      <c r="DY278" s="21"/>
      <c r="DZ278" s="19"/>
      <c r="EA278" s="19"/>
      <c r="EB278" s="19"/>
      <c r="EC278" s="48"/>
      <c r="ED278" s="48"/>
      <c r="EE278" s="52"/>
      <c r="EF278" s="52"/>
      <c r="EG278" s="22"/>
      <c r="EH278" s="22"/>
      <c r="EI278" s="22"/>
      <c r="EJ278" s="22"/>
      <c r="EK278" s="78"/>
      <c r="EL278" s="19"/>
      <c r="EM278" s="19"/>
      <c r="EN278" s="40"/>
      <c r="EO278" s="40"/>
      <c r="EP278" s="40"/>
      <c r="EQ278" s="21"/>
      <c r="ER278" s="21"/>
      <c r="ES278" s="21"/>
      <c r="ET278" s="21"/>
      <c r="EU278" s="19"/>
      <c r="EV278" s="21"/>
      <c r="EW278" s="39"/>
      <c r="EX278" s="39"/>
      <c r="EY278" s="39"/>
      <c r="EZ278" s="39"/>
      <c r="FA278" s="39"/>
      <c r="FB278" s="39"/>
      <c r="FC278" s="39"/>
      <c r="FD278" s="39"/>
      <c r="FE278" s="166"/>
      <c r="FF278" s="166"/>
      <c r="FG278" s="39"/>
      <c r="FH278" s="39"/>
      <c r="FI278" s="39"/>
      <c r="FJ278" s="19"/>
      <c r="FK278" s="19"/>
      <c r="FL278" s="19"/>
      <c r="FM278" s="19">
        <v>1990.26</v>
      </c>
      <c r="FN278" s="19">
        <v>1181.75</v>
      </c>
      <c r="FO278" s="52">
        <v>40.840000000000003</v>
      </c>
      <c r="FP278" s="22">
        <v>42.39</v>
      </c>
      <c r="FQ278" s="22"/>
      <c r="FR278" s="52">
        <v>37.700000000000003</v>
      </c>
      <c r="FS278" s="22">
        <v>39.21</v>
      </c>
      <c r="FT278" s="22"/>
      <c r="FU278" s="239"/>
      <c r="FV278" s="19"/>
      <c r="FW278" s="19"/>
      <c r="FX278" s="19"/>
      <c r="FY278" s="19"/>
      <c r="FZ278" s="19"/>
      <c r="GA278" s="19"/>
      <c r="GB278" s="19"/>
      <c r="GC278" s="20"/>
      <c r="GD278" s="20"/>
      <c r="GE278" s="21"/>
      <c r="GF278" s="21"/>
      <c r="GG278" s="21"/>
      <c r="GH278" s="21"/>
      <c r="GI278" s="21"/>
      <c r="GJ278" s="21"/>
      <c r="GK278" s="21"/>
      <c r="GL278" s="21"/>
      <c r="GM278" s="19"/>
      <c r="GN278" s="19"/>
      <c r="GO278" s="52" t="s">
        <v>633</v>
      </c>
      <c r="GP278" s="22" t="s">
        <v>633</v>
      </c>
      <c r="GQ278" s="22"/>
      <c r="GR278" s="22" t="s">
        <v>633</v>
      </c>
      <c r="GS278" s="22" t="s">
        <v>633</v>
      </c>
      <c r="GT278" s="22"/>
      <c r="GU278" s="239"/>
      <c r="GV278" s="19"/>
      <c r="GW278" s="19"/>
      <c r="GX278" s="19"/>
      <c r="GY278" s="19"/>
      <c r="GZ278" s="23"/>
      <c r="HA278" s="52" t="s">
        <v>633</v>
      </c>
      <c r="HB278" s="22" t="s">
        <v>633</v>
      </c>
      <c r="HC278" s="22"/>
      <c r="HD278" s="22" t="s">
        <v>633</v>
      </c>
      <c r="HE278" s="22" t="s">
        <v>633</v>
      </c>
      <c r="HF278" s="22"/>
      <c r="HG278" s="239"/>
    </row>
    <row r="279" spans="2:215" ht="15.75">
      <c r="B279" s="10"/>
      <c r="C279" s="184" t="s">
        <v>134</v>
      </c>
      <c r="D279" s="143"/>
      <c r="E279" s="76"/>
      <c r="F279" s="74"/>
      <c r="G279" s="74"/>
      <c r="H279" s="74"/>
      <c r="I279" s="76"/>
      <c r="J279" s="74"/>
      <c r="K279" s="74"/>
      <c r="L279" s="74"/>
      <c r="M279" s="191"/>
      <c r="N279" s="191"/>
      <c r="O279" s="74"/>
      <c r="P279" s="74"/>
      <c r="Q279" s="74"/>
      <c r="R279" s="191"/>
      <c r="S279" s="74"/>
      <c r="T279" s="74"/>
      <c r="U279" s="74"/>
      <c r="V279" s="52"/>
      <c r="W279" s="52"/>
      <c r="X279" s="52"/>
      <c r="Y279" s="52"/>
      <c r="Z279" s="22"/>
      <c r="AA279" s="52"/>
      <c r="AB279" s="22"/>
      <c r="AC279" s="52"/>
      <c r="AD279" s="52"/>
      <c r="AE279" s="22"/>
      <c r="AF279" s="52"/>
      <c r="AG279" s="22"/>
      <c r="AH279" s="52"/>
      <c r="AI279" s="52"/>
      <c r="AJ279" s="52"/>
      <c r="AK279" s="52"/>
      <c r="AL279" s="22"/>
      <c r="AM279" s="52"/>
      <c r="AN279" s="22"/>
      <c r="AO279" s="22"/>
      <c r="AP279" s="22"/>
      <c r="AQ279" s="22"/>
      <c r="AR279" s="22"/>
      <c r="AS279" s="22"/>
      <c r="AT279" s="22"/>
      <c r="AU279" s="22"/>
      <c r="AV279" s="77"/>
      <c r="AW279" s="77"/>
      <c r="AX279" s="78"/>
      <c r="AY279" s="22"/>
      <c r="AZ279" s="22"/>
      <c r="BA279" s="22"/>
      <c r="BB279" s="22"/>
      <c r="BC279" s="52"/>
      <c r="BD279" s="52"/>
      <c r="BE279" s="22"/>
      <c r="BF279" s="22"/>
      <c r="BG279" s="22"/>
      <c r="BH279" s="22"/>
      <c r="BI279" s="22"/>
      <c r="BJ279" s="78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48"/>
      <c r="CF279" s="48"/>
      <c r="CG279" s="48"/>
      <c r="CH279" s="48"/>
      <c r="CI279" s="48"/>
      <c r="CJ279" s="48"/>
      <c r="CK279" s="48"/>
      <c r="CL279" s="48"/>
      <c r="CM279" s="48"/>
      <c r="CN279" s="48"/>
      <c r="CO279" s="48"/>
      <c r="CP279" s="48"/>
      <c r="CQ279" s="48"/>
      <c r="CR279" s="48"/>
      <c r="CS279" s="48"/>
      <c r="CT279" s="48"/>
      <c r="CU279" s="48"/>
      <c r="CV279" s="48"/>
      <c r="CW279" s="19"/>
      <c r="CX279" s="19"/>
      <c r="CY279" s="19"/>
      <c r="CZ279" s="19"/>
      <c r="DA279" s="21"/>
      <c r="DB279" s="21"/>
      <c r="DC279" s="79"/>
      <c r="DD279" s="79"/>
      <c r="DE279" s="79"/>
      <c r="DF279" s="79"/>
      <c r="DG279" s="79"/>
      <c r="DH279" s="51"/>
      <c r="DI279" s="39"/>
      <c r="DJ279" s="80"/>
      <c r="DK279" s="39"/>
      <c r="DL279" s="39"/>
      <c r="DM279" s="48"/>
      <c r="DN279" s="39"/>
      <c r="DO279" s="39"/>
      <c r="DP279" s="39"/>
      <c r="DQ279" s="39"/>
      <c r="DR279" s="39"/>
      <c r="DS279" s="39"/>
      <c r="DT279" s="39"/>
      <c r="DU279" s="19"/>
      <c r="DV279" s="40"/>
      <c r="DW279" s="40"/>
      <c r="DX279" s="46"/>
      <c r="DY279" s="21"/>
      <c r="DZ279" s="19"/>
      <c r="EA279" s="19"/>
      <c r="EB279" s="19"/>
      <c r="EC279" s="48"/>
      <c r="ED279" s="48"/>
      <c r="EE279" s="52"/>
      <c r="EF279" s="52"/>
      <c r="EG279" s="22"/>
      <c r="EH279" s="22"/>
      <c r="EI279" s="22"/>
      <c r="EJ279" s="22"/>
      <c r="EK279" s="78"/>
      <c r="EL279" s="19"/>
      <c r="EM279" s="19"/>
      <c r="EN279" s="40"/>
      <c r="EO279" s="40"/>
      <c r="EP279" s="40"/>
      <c r="EQ279" s="21"/>
      <c r="ER279" s="21"/>
      <c r="ES279" s="21"/>
      <c r="ET279" s="21"/>
      <c r="EU279" s="19"/>
      <c r="EV279" s="21"/>
      <c r="EW279" s="39"/>
      <c r="EX279" s="39"/>
      <c r="EY279" s="39"/>
      <c r="EZ279" s="39"/>
      <c r="FA279" s="39"/>
      <c r="FB279" s="39"/>
      <c r="FC279" s="39"/>
      <c r="FD279" s="39"/>
      <c r="FE279" s="166"/>
      <c r="FF279" s="166"/>
      <c r="FG279" s="39"/>
      <c r="FH279" s="39"/>
      <c r="FI279" s="39"/>
      <c r="FJ279" s="19"/>
      <c r="FK279" s="19"/>
      <c r="FL279" s="19"/>
      <c r="FM279" s="19">
        <v>17.21</v>
      </c>
      <c r="FN279" s="19">
        <v>17.21</v>
      </c>
      <c r="FO279" s="52">
        <v>23.17</v>
      </c>
      <c r="FP279" s="22">
        <v>23.98</v>
      </c>
      <c r="FQ279" s="22"/>
      <c r="FR279" s="52">
        <v>17.45</v>
      </c>
      <c r="FS279" s="22">
        <v>18.14</v>
      </c>
      <c r="FT279" s="22"/>
      <c r="FU279" s="239"/>
      <c r="FV279" s="19"/>
      <c r="FW279" s="19"/>
      <c r="FX279" s="19"/>
      <c r="FY279" s="19"/>
      <c r="FZ279" s="19"/>
      <c r="GA279" s="19"/>
      <c r="GB279" s="19"/>
      <c r="GC279" s="20"/>
      <c r="GD279" s="20"/>
      <c r="GE279" s="21"/>
      <c r="GF279" s="21"/>
      <c r="GG279" s="21"/>
      <c r="GH279" s="21"/>
      <c r="GI279" s="21"/>
      <c r="GJ279" s="21"/>
      <c r="GK279" s="21"/>
      <c r="GL279" s="21"/>
      <c r="GM279" s="19"/>
      <c r="GN279" s="19"/>
      <c r="GO279" s="52" t="s">
        <v>633</v>
      </c>
      <c r="GP279" s="22" t="s">
        <v>633</v>
      </c>
      <c r="GQ279" s="22"/>
      <c r="GR279" s="22" t="s">
        <v>633</v>
      </c>
      <c r="GS279" s="22" t="s">
        <v>633</v>
      </c>
      <c r="GT279" s="22"/>
      <c r="GU279" s="239"/>
      <c r="GV279" s="19"/>
      <c r="GW279" s="19"/>
      <c r="GX279" s="19"/>
      <c r="GY279" s="19"/>
      <c r="GZ279" s="23"/>
      <c r="HA279" s="52" t="s">
        <v>633</v>
      </c>
      <c r="HB279" s="22" t="s">
        <v>633</v>
      </c>
      <c r="HC279" s="22"/>
      <c r="HD279" s="22" t="s">
        <v>633</v>
      </c>
      <c r="HE279" s="22" t="s">
        <v>633</v>
      </c>
      <c r="HF279" s="22"/>
      <c r="HG279" s="239"/>
    </row>
    <row r="280" spans="2:215" ht="15.75">
      <c r="B280" s="10"/>
      <c r="C280" s="184" t="s">
        <v>186</v>
      </c>
      <c r="D280" s="143"/>
      <c r="E280" s="76"/>
      <c r="F280" s="74"/>
      <c r="G280" s="74"/>
      <c r="H280" s="74"/>
      <c r="I280" s="76"/>
      <c r="J280" s="74"/>
      <c r="K280" s="74"/>
      <c r="L280" s="74"/>
      <c r="M280" s="191"/>
      <c r="N280" s="191"/>
      <c r="O280" s="74"/>
      <c r="P280" s="74"/>
      <c r="Q280" s="74"/>
      <c r="R280" s="191"/>
      <c r="S280" s="74"/>
      <c r="T280" s="74"/>
      <c r="U280" s="74"/>
      <c r="V280" s="52"/>
      <c r="W280" s="52"/>
      <c r="X280" s="52"/>
      <c r="Y280" s="52"/>
      <c r="Z280" s="22"/>
      <c r="AA280" s="52"/>
      <c r="AB280" s="22"/>
      <c r="AC280" s="52"/>
      <c r="AD280" s="52"/>
      <c r="AE280" s="22"/>
      <c r="AF280" s="52"/>
      <c r="AG280" s="22"/>
      <c r="AH280" s="52"/>
      <c r="AI280" s="52"/>
      <c r="AJ280" s="52"/>
      <c r="AK280" s="52"/>
      <c r="AL280" s="22"/>
      <c r="AM280" s="52"/>
      <c r="AN280" s="22"/>
      <c r="AO280" s="22"/>
      <c r="AP280" s="22"/>
      <c r="AQ280" s="22"/>
      <c r="AR280" s="22"/>
      <c r="AS280" s="22"/>
      <c r="AT280" s="22"/>
      <c r="AU280" s="22"/>
      <c r="AV280" s="77"/>
      <c r="AW280" s="77"/>
      <c r="AX280" s="78"/>
      <c r="AY280" s="22"/>
      <c r="AZ280" s="22"/>
      <c r="BA280" s="22"/>
      <c r="BB280" s="22"/>
      <c r="BC280" s="52"/>
      <c r="BD280" s="52"/>
      <c r="BE280" s="22"/>
      <c r="BF280" s="22"/>
      <c r="BG280" s="22"/>
      <c r="BH280" s="22"/>
      <c r="BI280" s="22"/>
      <c r="BJ280" s="78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48"/>
      <c r="CF280" s="48"/>
      <c r="CG280" s="48"/>
      <c r="CH280" s="48"/>
      <c r="CI280" s="48"/>
      <c r="CJ280" s="48"/>
      <c r="CK280" s="48"/>
      <c r="CL280" s="48"/>
      <c r="CM280" s="48"/>
      <c r="CN280" s="48"/>
      <c r="CO280" s="48"/>
      <c r="CP280" s="48"/>
      <c r="CQ280" s="48"/>
      <c r="CR280" s="48"/>
      <c r="CS280" s="48"/>
      <c r="CT280" s="48"/>
      <c r="CU280" s="48"/>
      <c r="CV280" s="48"/>
      <c r="CW280" s="19"/>
      <c r="CX280" s="19"/>
      <c r="CY280" s="19"/>
      <c r="CZ280" s="19"/>
      <c r="DA280" s="21"/>
      <c r="DB280" s="21"/>
      <c r="DC280" s="79"/>
      <c r="DD280" s="79"/>
      <c r="DE280" s="79"/>
      <c r="DF280" s="79"/>
      <c r="DG280" s="79"/>
      <c r="DH280" s="51"/>
      <c r="DI280" s="39"/>
      <c r="DJ280" s="80"/>
      <c r="DK280" s="39"/>
      <c r="DL280" s="39"/>
      <c r="DM280" s="48"/>
      <c r="DN280" s="39"/>
      <c r="DO280" s="39"/>
      <c r="DP280" s="39"/>
      <c r="DQ280" s="39"/>
      <c r="DR280" s="39"/>
      <c r="DS280" s="39"/>
      <c r="DT280" s="39"/>
      <c r="DU280" s="19"/>
      <c r="DV280" s="40"/>
      <c r="DW280" s="40"/>
      <c r="DX280" s="46"/>
      <c r="DY280" s="21"/>
      <c r="DZ280" s="19"/>
      <c r="EA280" s="19"/>
      <c r="EB280" s="19"/>
      <c r="EC280" s="48"/>
      <c r="ED280" s="48"/>
      <c r="EE280" s="52"/>
      <c r="EF280" s="52"/>
      <c r="EG280" s="22"/>
      <c r="EH280" s="22"/>
      <c r="EI280" s="22"/>
      <c r="EJ280" s="22"/>
      <c r="EK280" s="78"/>
      <c r="EL280" s="19"/>
      <c r="EM280" s="19"/>
      <c r="EN280" s="40"/>
      <c r="EO280" s="40"/>
      <c r="EP280" s="40"/>
      <c r="EQ280" s="21"/>
      <c r="ER280" s="21"/>
      <c r="ES280" s="21"/>
      <c r="ET280" s="21"/>
      <c r="EU280" s="19"/>
      <c r="EV280" s="21"/>
      <c r="EW280" s="39"/>
      <c r="EX280" s="39"/>
      <c r="EY280" s="39"/>
      <c r="EZ280" s="39"/>
      <c r="FA280" s="39"/>
      <c r="FB280" s="39"/>
      <c r="FC280" s="39"/>
      <c r="FD280" s="39"/>
      <c r="FE280" s="166"/>
      <c r="FF280" s="166"/>
      <c r="FG280" s="39"/>
      <c r="FH280" s="39"/>
      <c r="FI280" s="39"/>
      <c r="FJ280" s="19"/>
      <c r="FK280" s="19"/>
      <c r="FL280" s="19"/>
      <c r="FM280" s="19">
        <v>29.7</v>
      </c>
      <c r="FN280" s="19"/>
      <c r="FO280" s="52">
        <v>26.14</v>
      </c>
      <c r="FP280" s="22">
        <v>27.1</v>
      </c>
      <c r="FQ280" s="22"/>
      <c r="FR280" s="52" t="s">
        <v>633</v>
      </c>
      <c r="FS280" s="52" t="s">
        <v>633</v>
      </c>
      <c r="FT280" s="22"/>
      <c r="FU280" s="239"/>
      <c r="FV280" s="19"/>
      <c r="FW280" s="19"/>
      <c r="FX280" s="19"/>
      <c r="FY280" s="19"/>
      <c r="FZ280" s="19"/>
      <c r="GA280" s="19"/>
      <c r="GB280" s="19"/>
      <c r="GC280" s="20"/>
      <c r="GD280" s="20"/>
      <c r="GE280" s="21"/>
      <c r="GF280" s="21"/>
      <c r="GG280" s="21"/>
      <c r="GH280" s="21"/>
      <c r="GI280" s="21"/>
      <c r="GJ280" s="21"/>
      <c r="GK280" s="21"/>
      <c r="GL280" s="21"/>
      <c r="GM280" s="19"/>
      <c r="GN280" s="19"/>
      <c r="GO280" s="52" t="s">
        <v>633</v>
      </c>
      <c r="GP280" s="22" t="s">
        <v>633</v>
      </c>
      <c r="GQ280" s="22"/>
      <c r="GR280" s="52" t="s">
        <v>633</v>
      </c>
      <c r="GS280" s="52" t="s">
        <v>633</v>
      </c>
      <c r="GT280" s="22"/>
      <c r="GU280" s="239"/>
      <c r="GV280" s="19"/>
      <c r="GW280" s="19"/>
      <c r="GX280" s="19"/>
      <c r="GY280" s="19"/>
      <c r="GZ280" s="23"/>
      <c r="HA280" s="52" t="s">
        <v>633</v>
      </c>
      <c r="HB280" s="22" t="s">
        <v>633</v>
      </c>
      <c r="HC280" s="22"/>
      <c r="HD280" s="52" t="s">
        <v>633</v>
      </c>
      <c r="HE280" s="52" t="s">
        <v>633</v>
      </c>
      <c r="HF280" s="22"/>
      <c r="HG280" s="239"/>
    </row>
    <row r="281" spans="2:215" ht="15.75">
      <c r="B281" s="10" t="s">
        <v>409</v>
      </c>
      <c r="C281" s="81" t="s">
        <v>410</v>
      </c>
      <c r="D281" s="46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52"/>
      <c r="W281" s="52"/>
      <c r="X281" s="52">
        <f t="shared" si="1103"/>
        <v>0</v>
      </c>
      <c r="Y281" s="52"/>
      <c r="Z281" s="22">
        <f t="shared" si="1040"/>
        <v>0</v>
      </c>
      <c r="AA281" s="52"/>
      <c r="AB281" s="22">
        <f t="shared" si="1041"/>
        <v>0</v>
      </c>
      <c r="AC281" s="22"/>
      <c r="AD281" s="22"/>
      <c r="AE281" s="22">
        <f t="shared" si="1028"/>
        <v>0</v>
      </c>
      <c r="AF281" s="22"/>
      <c r="AG281" s="22">
        <f t="shared" si="1112"/>
        <v>0</v>
      </c>
      <c r="AH281" s="52"/>
      <c r="AI281" s="52"/>
      <c r="AJ281" s="52">
        <f t="shared" si="1042"/>
        <v>0</v>
      </c>
      <c r="AK281" s="52"/>
      <c r="AL281" s="22">
        <f t="shared" si="1043"/>
        <v>0</v>
      </c>
      <c r="AM281" s="52"/>
      <c r="AN281" s="22">
        <f t="shared" si="1044"/>
        <v>0</v>
      </c>
      <c r="AO281" s="22">
        <f t="shared" si="1104"/>
        <v>0</v>
      </c>
      <c r="AP281" s="22">
        <f t="shared" si="1045"/>
        <v>0</v>
      </c>
      <c r="AQ281" s="22"/>
      <c r="AR281" s="22"/>
      <c r="AS281" s="22">
        <f>+IF(AQ281=0,,AT281/AQ281*100)</f>
        <v>0</v>
      </c>
      <c r="AT281" s="22"/>
      <c r="AU281" s="22">
        <f t="shared" si="1113"/>
        <v>0</v>
      </c>
      <c r="AV281" s="77"/>
      <c r="AW281" s="77">
        <f t="shared" ref="AW281:AW290" si="1139">+CY281/$CY$272*100</f>
        <v>0</v>
      </c>
      <c r="AX281" s="78"/>
      <c r="AY281" s="22">
        <f t="shared" si="1114"/>
        <v>0</v>
      </c>
      <c r="AZ281" s="22"/>
      <c r="BA281" s="22"/>
      <c r="BB281" s="22"/>
      <c r="BC281" s="22"/>
      <c r="BD281" s="22"/>
      <c r="BE281" s="22">
        <f t="shared" si="1115"/>
        <v>0</v>
      </c>
      <c r="BF281" s="22"/>
      <c r="BG281" s="22"/>
      <c r="BH281" s="22">
        <f t="shared" si="1116"/>
        <v>0</v>
      </c>
      <c r="BI281" s="22"/>
      <c r="BJ281" s="40"/>
      <c r="BK281" s="19">
        <f t="shared" ref="BK281:BK313" si="1140">+BL281+BM281+BN281</f>
        <v>0</v>
      </c>
      <c r="BL281" s="19">
        <f t="shared" ref="BL281:BL289" si="1141">+E281*AI281/1.18/1000</f>
        <v>0</v>
      </c>
      <c r="BM281" s="19">
        <f t="shared" ref="BM281:BM289" si="1142">+(W281-ROUND(AI281/1.18,2))*E281/1000</f>
        <v>0</v>
      </c>
      <c r="BN281" s="19">
        <f t="shared" ref="BN281:BN289" si="1143">+W281*I281/1000</f>
        <v>0</v>
      </c>
      <c r="BO281" s="19">
        <f t="shared" ref="BO281:BO313" si="1144">+BP281+BQ281+BR281</f>
        <v>0</v>
      </c>
      <c r="BP281" s="19">
        <f t="shared" ref="BP281:BP289" si="1145">+AK281/1.18*E281/1000</f>
        <v>0</v>
      </c>
      <c r="BQ281" s="19">
        <f t="shared" si="1049"/>
        <v>0</v>
      </c>
      <c r="BR281" s="19">
        <f t="shared" ref="BR281:BR289" si="1146">+Y281*I281/1000</f>
        <v>0</v>
      </c>
      <c r="BS281" s="19">
        <f t="shared" ref="BS281:BS313" si="1147">+BT281+BV281+BU281</f>
        <v>0</v>
      </c>
      <c r="BT281" s="19">
        <f t="shared" ref="BT281:BT289" si="1148">+AM281/1.18*E281/1000</f>
        <v>0</v>
      </c>
      <c r="BU281" s="19">
        <f t="shared" si="1050"/>
        <v>0</v>
      </c>
      <c r="BV281" s="19">
        <f t="shared" ref="BV281:BV289" si="1149">+AA281*I281/1000</f>
        <v>0</v>
      </c>
      <c r="BW281" s="19">
        <f t="shared" ref="BW281:BW290" si="1150">+BX281+BY281+BZ281</f>
        <v>0</v>
      </c>
      <c r="BX281" s="19">
        <f t="shared" ref="BX281:BX290" si="1151">+((AQ281/1.18*N281/1000)+(AR281/1.18*N281/1000))/2</f>
        <v>0</v>
      </c>
      <c r="BY281" s="19">
        <f t="shared" ref="BY281:BY290" si="1152">+((AC281-ROUND(AQ281/1.18,2))*N281/1000+(AD281-ROUND(AR281/1.18,2))*N281/1000)/2</f>
        <v>0</v>
      </c>
      <c r="BZ281" s="19">
        <f t="shared" ref="BZ281:BZ290" si="1153">+((AC281*R281/1000)+(R281*AD281/1000))/2</f>
        <v>0</v>
      </c>
      <c r="CA281" s="19">
        <f t="shared" ref="CA281:CA290" si="1154">+CB281+CC281+CD281</f>
        <v>0</v>
      </c>
      <c r="CB281" s="19">
        <f t="shared" ref="CB281:CB290" si="1155">+AT281/1.18*N281/1000</f>
        <v>0</v>
      </c>
      <c r="CC281" s="19">
        <f t="shared" ref="CC281:CC290" si="1156">+(AF281-ROUND(AT281/1.18,2))*N281/1000</f>
        <v>0</v>
      </c>
      <c r="CD281" s="19">
        <f t="shared" si="1088"/>
        <v>0</v>
      </c>
      <c r="CE281" s="48">
        <f t="shared" ref="CE281:CE313" si="1157">+IF(R281=0,,BN281/R281*1000)</f>
        <v>0</v>
      </c>
      <c r="CF281" s="48">
        <f t="shared" ref="CF281:CF313" si="1158">+IF(I281=0,,BR281/I281*1000)</f>
        <v>0</v>
      </c>
      <c r="CG281" s="48">
        <f t="shared" ref="CG281:CG313" si="1159">+IF(I281=0,,BV281/I281*1000)</f>
        <v>0</v>
      </c>
      <c r="CH281" s="48">
        <f t="shared" ref="CH281:CH313" si="1160">+IF(E281=0,,BL281/E281*1000*1.18)</f>
        <v>0</v>
      </c>
      <c r="CI281" s="48">
        <f t="shared" ref="CI281:CI313" si="1161">+IF(E281=0,,BP281/E281*1.18*1000)</f>
        <v>0</v>
      </c>
      <c r="CJ281" s="48">
        <f t="shared" ref="CJ281:CJ313" si="1162">+IF(E281=0,,BT281/E281*1.18*1000)</f>
        <v>0</v>
      </c>
      <c r="CK281" s="48">
        <f t="shared" ref="CK281:CK313" si="1163">+IF(D281=0,,BK281/D281*1000)</f>
        <v>0</v>
      </c>
      <c r="CL281" s="48">
        <f t="shared" ref="CL281:CL313" si="1164">+IF(D281=0,,BO281/D281*1000)</f>
        <v>0</v>
      </c>
      <c r="CM281" s="48">
        <f t="shared" ref="CM281:CM313" si="1165">+IF(D281=0,,BS281/D281*1000)</f>
        <v>0</v>
      </c>
      <c r="CN281" s="48">
        <f t="shared" si="1106"/>
        <v>0</v>
      </c>
      <c r="CO281" s="48">
        <f t="shared" ref="CO281:CO313" si="1166">+IF(R281=0,,BZ281/R281*1000)</f>
        <v>0</v>
      </c>
      <c r="CP281" s="48">
        <f t="shared" ref="CP281:CP313" si="1167">+IF(R281=0,,CD281/R281*1000)</f>
        <v>0</v>
      </c>
      <c r="CQ281" s="48">
        <f t="shared" ref="CQ281:CQ313" si="1168">+IF(N281=0,,BX281/N281*1.18*1000)</f>
        <v>0</v>
      </c>
      <c r="CR281" s="48">
        <f t="shared" ref="CR281:CR313" si="1169">+IF(N281=0,,CB281/N281*1.18*1000)</f>
        <v>0</v>
      </c>
      <c r="CS281" s="48">
        <f t="shared" ref="CS281:CS313" si="1170">+IF(M281=0,,BW281/M281*1000)</f>
        <v>0</v>
      </c>
      <c r="CT281" s="48">
        <f t="shared" ref="CT281:CT313" si="1171">+IF(M281=0,,CA281/M281*1000)</f>
        <v>0</v>
      </c>
      <c r="CU281" s="48">
        <f t="shared" si="1107"/>
        <v>0</v>
      </c>
      <c r="CV281" s="48">
        <f t="shared" ref="CV281:CV313" si="1172">+IF(CN281=0,,CU281/CN281*100)</f>
        <v>0</v>
      </c>
      <c r="CW281" s="19">
        <f t="shared" ref="CW281:CW290" si="1173">+((AI281*F281)/1.18+(G281*AK281)/1.18+(H281*AM281)/1.18)/1000</f>
        <v>0</v>
      </c>
      <c r="CX281" s="19">
        <f t="shared" ref="CX281:CX290" si="1174">+((W281*F281)+(Y281*G281)+(AA281*H281))/1000</f>
        <v>0</v>
      </c>
      <c r="CY281" s="19">
        <f t="shared" ref="CY281:CY290" si="1175">+((AQ281*O281)/1.18+(Q281*AT281)/1.18+(AR281*P281)/1.18)/1000</f>
        <v>0</v>
      </c>
      <c r="CZ281" s="19">
        <f t="shared" ref="CZ281:CZ290" si="1176">+((AC281*O281)+(AF281*Q281)+(AD281*P281))/1000</f>
        <v>0</v>
      </c>
      <c r="DA281" s="21">
        <f t="shared" si="1093"/>
        <v>0</v>
      </c>
      <c r="DB281" s="21">
        <f t="shared" si="1094"/>
        <v>0</v>
      </c>
      <c r="DC281" s="79">
        <f t="shared" ref="DC281:DD313" si="1177">+IF(CW281=0,,CY281/CW281*100)</f>
        <v>0</v>
      </c>
      <c r="DD281" s="79">
        <f t="shared" si="1177"/>
        <v>0</v>
      </c>
      <c r="DE281" s="79">
        <f t="shared" ref="DE281:DF290" si="1178">+(O281+S281)*AC281/1000</f>
        <v>0</v>
      </c>
      <c r="DF281" s="79">
        <f t="shared" si="1178"/>
        <v>0</v>
      </c>
      <c r="DG281" s="79">
        <f t="shared" si="1096"/>
        <v>0</v>
      </c>
      <c r="DH281" s="51">
        <f t="shared" si="1097"/>
        <v>0</v>
      </c>
      <c r="DI281" s="39"/>
      <c r="DJ281" s="80">
        <f t="shared" ref="DJ281:DJ313" si="1179">+(F281+J281)*W281/1000</f>
        <v>0</v>
      </c>
      <c r="DK281" s="39">
        <f t="shared" ref="DK281:DK313" si="1180">+Y281*(G281+K281)/1000</f>
        <v>0</v>
      </c>
      <c r="DL281" s="39">
        <f t="shared" ref="DL281:DL313" si="1181">+(H281+L281)*AA281/1000</f>
        <v>0</v>
      </c>
      <c r="DM281" s="48">
        <f>+AT281-'[2]тарифы (12-13) население 15%'!AP341</f>
        <v>0</v>
      </c>
      <c r="DN281" s="39"/>
      <c r="DO281" s="39"/>
      <c r="DP281" s="39"/>
      <c r="DQ281" s="39"/>
      <c r="DR281" s="39"/>
      <c r="DS281" s="39"/>
      <c r="DT281" s="39"/>
      <c r="DU281" s="19">
        <f t="shared" si="1117"/>
        <v>0</v>
      </c>
      <c r="DV281" s="40">
        <f t="shared" si="1118"/>
        <v>0</v>
      </c>
      <c r="DW281" s="40">
        <f t="shared" si="1119"/>
        <v>0</v>
      </c>
      <c r="DX281" s="46"/>
      <c r="DY281" s="21">
        <f t="shared" si="1120"/>
        <v>0</v>
      </c>
      <c r="DZ281" s="19">
        <f t="shared" si="1121"/>
        <v>0</v>
      </c>
      <c r="EA281" s="19">
        <f t="shared" si="1122"/>
        <v>0</v>
      </c>
      <c r="EB281" s="19"/>
      <c r="EC281" s="48">
        <f t="shared" si="1123"/>
        <v>0</v>
      </c>
      <c r="ED281" s="48">
        <f t="shared" si="1124"/>
        <v>0</v>
      </c>
      <c r="EE281" s="22"/>
      <c r="EF281" s="22"/>
      <c r="EG281" s="22">
        <f t="shared" si="1125"/>
        <v>0</v>
      </c>
      <c r="EH281" s="22"/>
      <c r="EI281" s="22"/>
      <c r="EJ281" s="22">
        <f t="shared" si="1126"/>
        <v>0</v>
      </c>
      <c r="EK281" s="40"/>
      <c r="EL281" s="19"/>
      <c r="EM281" s="19"/>
      <c r="EN281" s="40">
        <f t="shared" si="1127"/>
        <v>0</v>
      </c>
      <c r="EO281" s="40">
        <f t="shared" si="1100"/>
        <v>0</v>
      </c>
      <c r="EP281" s="40"/>
      <c r="EQ281" s="21">
        <f t="shared" si="1098"/>
        <v>0</v>
      </c>
      <c r="ER281" s="21"/>
      <c r="ES281" s="21">
        <f t="shared" si="1128"/>
        <v>0</v>
      </c>
      <c r="ET281" s="21"/>
      <c r="EU281" s="19">
        <f t="shared" si="1102"/>
        <v>0</v>
      </c>
      <c r="EV281" s="21"/>
      <c r="EW281" s="39"/>
      <c r="EX281" s="39">
        <f t="shared" si="1099"/>
        <v>0</v>
      </c>
      <c r="EY281" s="39">
        <f t="shared" si="1079"/>
        <v>0</v>
      </c>
      <c r="EZ281" s="39"/>
      <c r="FA281" s="39"/>
      <c r="FB281" s="39"/>
      <c r="FC281" s="39"/>
      <c r="FD281" s="39"/>
      <c r="FE281" s="166"/>
      <c r="FF281" s="166"/>
      <c r="FG281" s="39"/>
      <c r="FH281" s="39"/>
      <c r="FI281" s="39"/>
      <c r="FJ281" s="19">
        <f t="shared" si="1129"/>
        <v>0</v>
      </c>
      <c r="FK281" s="19">
        <f t="shared" si="1130"/>
        <v>0</v>
      </c>
      <c r="FL281" s="19">
        <f t="shared" si="1101"/>
        <v>0</v>
      </c>
      <c r="FM281" s="19"/>
      <c r="FN281" s="19"/>
      <c r="FO281" s="22"/>
      <c r="FP281" s="22"/>
      <c r="FQ281" s="22"/>
      <c r="FR281" s="22"/>
      <c r="FS281" s="22"/>
      <c r="FT281" s="22"/>
      <c r="FU281" s="40"/>
      <c r="FV281" s="19"/>
      <c r="FW281" s="19"/>
      <c r="FX281" s="19"/>
      <c r="FY281" s="19"/>
      <c r="FZ281" s="19"/>
      <c r="GA281" s="19"/>
      <c r="GB281" s="19"/>
      <c r="GC281" s="20"/>
      <c r="GD281" s="20"/>
      <c r="GE281" s="21"/>
      <c r="GF281" s="21"/>
      <c r="GG281" s="21"/>
      <c r="GH281" s="21"/>
      <c r="GI281" s="21"/>
      <c r="GJ281" s="21"/>
      <c r="GK281" s="21"/>
      <c r="GL281" s="21"/>
      <c r="GM281" s="19"/>
      <c r="GN281" s="19"/>
      <c r="GO281" s="22"/>
      <c r="GP281" s="22"/>
      <c r="GQ281" s="22"/>
      <c r="GR281" s="22"/>
      <c r="GS281" s="22"/>
      <c r="GT281" s="22"/>
      <c r="GU281" s="43"/>
      <c r="GV281" s="19"/>
      <c r="GW281" s="19"/>
      <c r="GX281" s="19"/>
      <c r="GY281" s="19"/>
      <c r="GZ281" s="23"/>
      <c r="HA281" s="22"/>
      <c r="HB281" s="22"/>
      <c r="HC281" s="22"/>
      <c r="HD281" s="22"/>
      <c r="HE281" s="22"/>
      <c r="HF281" s="22"/>
      <c r="HG281" s="233"/>
    </row>
    <row r="282" spans="2:215" ht="15.75">
      <c r="B282" s="10"/>
      <c r="C282" s="161" t="s">
        <v>204</v>
      </c>
      <c r="D282" s="73">
        <f>+'[2]2012(объемы годовые)'!I293</f>
        <v>22960</v>
      </c>
      <c r="E282" s="73">
        <f>+'[2]2012(объемы годовые)'!M293</f>
        <v>4020</v>
      </c>
      <c r="F282" s="74">
        <f>+E282*$F$3</f>
        <v>2221.4519999999998</v>
      </c>
      <c r="G282" s="74">
        <f>+E282*$G$3</f>
        <v>599.38200000000006</v>
      </c>
      <c r="H282" s="74">
        <f>+E282*$H$3</f>
        <v>1199.1659999999999</v>
      </c>
      <c r="I282" s="73">
        <f>+'[2]2012(объемы годовые)'!Q293+'[2]2012(объемы годовые)'!U293+'[2]2012(объемы годовые)'!Y293</f>
        <v>18940</v>
      </c>
      <c r="J282" s="74">
        <f>+I282*$J$3</f>
        <v>10466.243999999999</v>
      </c>
      <c r="K282" s="74">
        <f>+I282*$K$3</f>
        <v>2823.9540000000002</v>
      </c>
      <c r="L282" s="74">
        <f>+I282*$L$3</f>
        <v>5649.8020000000006</v>
      </c>
      <c r="M282" s="75">
        <f>+N282+R282</f>
        <v>18750</v>
      </c>
      <c r="N282" s="75">
        <f>+O282+P282+Q282</f>
        <v>4020</v>
      </c>
      <c r="O282" s="74">
        <v>2324.364</v>
      </c>
      <c r="P282" s="74">
        <v>33.768000000000001</v>
      </c>
      <c r="Q282" s="74">
        <v>1661.8679999999999</v>
      </c>
      <c r="R282" s="75">
        <f>+S282+T282+U282</f>
        <v>14730</v>
      </c>
      <c r="S282" s="74">
        <v>8942.5110000000004</v>
      </c>
      <c r="T282" s="74">
        <v>20.606999999999999</v>
      </c>
      <c r="U282" s="74">
        <v>5766.8819999999996</v>
      </c>
      <c r="V282" s="52">
        <v>821.52</v>
      </c>
      <c r="W282" s="52">
        <v>821.52</v>
      </c>
      <c r="X282" s="52">
        <f t="shared" si="1103"/>
        <v>100</v>
      </c>
      <c r="Y282" s="52">
        <v>869.98</v>
      </c>
      <c r="Z282" s="22">
        <f t="shared" si="1040"/>
        <v>105.8988216963677</v>
      </c>
      <c r="AA282" s="52">
        <v>911.74</v>
      </c>
      <c r="AB282" s="22">
        <f t="shared" si="1041"/>
        <v>104.80011034736432</v>
      </c>
      <c r="AC282" s="52">
        <v>911.74</v>
      </c>
      <c r="AD282" s="52">
        <v>911.74</v>
      </c>
      <c r="AE282" s="22">
        <f t="shared" si="1028"/>
        <v>111.69960734419899</v>
      </c>
      <c r="AF282" s="22">
        <v>1018.41</v>
      </c>
      <c r="AG282" s="22">
        <f t="shared" si="1112"/>
        <v>111.69960734419899</v>
      </c>
      <c r="AH282" s="22">
        <v>969.39</v>
      </c>
      <c r="AI282" s="22">
        <v>969.39</v>
      </c>
      <c r="AJ282" s="52">
        <f t="shared" si="1042"/>
        <v>100</v>
      </c>
      <c r="AK282" s="22">
        <v>1026.58</v>
      </c>
      <c r="AL282" s="22">
        <f t="shared" si="1043"/>
        <v>105.89958633780006</v>
      </c>
      <c r="AM282" s="22">
        <v>1075.8499999999999</v>
      </c>
      <c r="AN282" s="22">
        <f t="shared" si="1044"/>
        <v>104.79943112080889</v>
      </c>
      <c r="AO282" s="22">
        <f t="shared" si="1104"/>
        <v>110.98208199435193</v>
      </c>
      <c r="AP282" s="22">
        <f t="shared" si="1045"/>
        <v>110.98216404130432</v>
      </c>
      <c r="AQ282" s="22">
        <v>1075.8499999999999</v>
      </c>
      <c r="AR282" s="22">
        <v>1075.8499999999999</v>
      </c>
      <c r="AS282" s="22">
        <f>+IF(AQ282=0,,AT282/AQ282*100)</f>
        <v>111.6995863735651</v>
      </c>
      <c r="AT282" s="22">
        <v>1201.72</v>
      </c>
      <c r="AU282" s="22">
        <f t="shared" si="1113"/>
        <v>111.6995863735651</v>
      </c>
      <c r="AV282" s="77"/>
      <c r="AW282" s="77">
        <f t="shared" si="1139"/>
        <v>12.014242325839728</v>
      </c>
      <c r="AX282" s="78" t="s">
        <v>411</v>
      </c>
      <c r="AY282" s="22">
        <f t="shared" si="1114"/>
        <v>22.96</v>
      </c>
      <c r="AZ282" s="22">
        <f>+[8]БПр!$BX$604/1000</f>
        <v>4.0200000000000005</v>
      </c>
      <c r="BA282" s="22">
        <f>+[8]БПр!$BW$604/1000</f>
        <v>0</v>
      </c>
      <c r="BB282" s="22">
        <f>+([8]БПр!$BY$604+[8]БПр!$BO$604)/1000</f>
        <v>18.940000000000001</v>
      </c>
      <c r="BC282" s="22">
        <v>1018.41</v>
      </c>
      <c r="BD282" s="22">
        <v>1038.5999999999999</v>
      </c>
      <c r="BE282" s="22">
        <f t="shared" si="1115"/>
        <v>101.9825021356821</v>
      </c>
      <c r="BF282" s="22">
        <v>1201.72</v>
      </c>
      <c r="BG282" s="22">
        <v>1225.55</v>
      </c>
      <c r="BH282" s="22">
        <f t="shared" si="1116"/>
        <v>101.98299104616714</v>
      </c>
      <c r="BI282" s="22">
        <f>+BD282-BG282/1.18</f>
        <v>-1.6949152543475066E-3</v>
      </c>
      <c r="BJ282" s="40" t="s">
        <v>412</v>
      </c>
      <c r="BK282" s="19">
        <f t="shared" si="1140"/>
        <v>18862.086935593219</v>
      </c>
      <c r="BL282" s="19">
        <f t="shared" si="1141"/>
        <v>3302.49813559322</v>
      </c>
      <c r="BM282" s="19">
        <f t="shared" si="1142"/>
        <v>0</v>
      </c>
      <c r="BN282" s="19">
        <f t="shared" si="1143"/>
        <v>15559.5888</v>
      </c>
      <c r="BO282" s="19">
        <f t="shared" si="1144"/>
        <v>19974.753064406781</v>
      </c>
      <c r="BP282" s="19">
        <f t="shared" si="1145"/>
        <v>3497.3318644067799</v>
      </c>
      <c r="BQ282" s="19">
        <f t="shared" si="1049"/>
        <v>0</v>
      </c>
      <c r="BR282" s="19">
        <f t="shared" si="1146"/>
        <v>16477.421200000001</v>
      </c>
      <c r="BS282" s="19">
        <f t="shared" si="1147"/>
        <v>20933.539498305086</v>
      </c>
      <c r="BT282" s="19">
        <f t="shared" si="1148"/>
        <v>3665.1838983050848</v>
      </c>
      <c r="BU282" s="19">
        <f t="shared" si="1050"/>
        <v>0</v>
      </c>
      <c r="BV282" s="19">
        <f t="shared" si="1149"/>
        <v>17268.355600000003</v>
      </c>
      <c r="BW282" s="19">
        <f t="shared" si="1150"/>
        <v>17095.114098305083</v>
      </c>
      <c r="BX282" s="19">
        <f t="shared" si="1151"/>
        <v>3665.1838983050848</v>
      </c>
      <c r="BY282" s="19">
        <f t="shared" si="1152"/>
        <v>0</v>
      </c>
      <c r="BZ282" s="19">
        <f t="shared" si="1153"/>
        <v>13429.930199999999</v>
      </c>
      <c r="CA282" s="19">
        <f t="shared" si="1154"/>
        <v>19095.174554237288</v>
      </c>
      <c r="CB282" s="19">
        <f t="shared" si="1155"/>
        <v>4093.9952542372885</v>
      </c>
      <c r="CC282" s="19">
        <f t="shared" si="1156"/>
        <v>0</v>
      </c>
      <c r="CD282" s="19">
        <f t="shared" si="1088"/>
        <v>15001.1793</v>
      </c>
      <c r="CE282" s="48">
        <f t="shared" si="1157"/>
        <v>1056.3196741344195</v>
      </c>
      <c r="CF282" s="48">
        <f t="shared" si="1158"/>
        <v>869.98000000000013</v>
      </c>
      <c r="CG282" s="48">
        <f t="shared" si="1159"/>
        <v>911.74000000000012</v>
      </c>
      <c r="CH282" s="48">
        <f t="shared" si="1160"/>
        <v>969.38999999999976</v>
      </c>
      <c r="CI282" s="48">
        <f t="shared" si="1161"/>
        <v>1026.5800000000002</v>
      </c>
      <c r="CJ282" s="48">
        <f t="shared" si="1162"/>
        <v>1075.8499999999999</v>
      </c>
      <c r="CK282" s="48">
        <f t="shared" si="1163"/>
        <v>821.51946583594156</v>
      </c>
      <c r="CL282" s="48">
        <f t="shared" si="1164"/>
        <v>869.98053416405844</v>
      </c>
      <c r="CM282" s="48">
        <f t="shared" si="1165"/>
        <v>911.73952518750377</v>
      </c>
      <c r="CN282" s="48">
        <f t="shared" si="1106"/>
        <v>867.74650839583455</v>
      </c>
      <c r="CO282" s="48">
        <f t="shared" si="1166"/>
        <v>911.7399999999999</v>
      </c>
      <c r="CP282" s="48">
        <f t="shared" si="1167"/>
        <v>1018.4100000000001</v>
      </c>
      <c r="CQ282" s="48">
        <f t="shared" si="1168"/>
        <v>1075.8499999999999</v>
      </c>
      <c r="CR282" s="48">
        <f t="shared" si="1169"/>
        <v>1201.7199999999998</v>
      </c>
      <c r="CS282" s="48">
        <f t="shared" si="1170"/>
        <v>911.73941857627108</v>
      </c>
      <c r="CT282" s="48">
        <f t="shared" si="1171"/>
        <v>1018.4093095593221</v>
      </c>
      <c r="CU282" s="48">
        <f t="shared" si="1107"/>
        <v>965.07436406779641</v>
      </c>
      <c r="CV282" s="48">
        <f t="shared" si="1172"/>
        <v>111.21616217757968</v>
      </c>
      <c r="CW282" s="19">
        <f t="shared" si="1173"/>
        <v>3439.737007576271</v>
      </c>
      <c r="CX282" s="19">
        <f t="shared" si="1174"/>
        <v>3439.7452082399996</v>
      </c>
      <c r="CY282" s="19">
        <f t="shared" si="1175"/>
        <v>3842.4545128474579</v>
      </c>
      <c r="CZ282" s="19">
        <f t="shared" si="1176"/>
        <v>3842.4662595599998</v>
      </c>
      <c r="DA282" s="21">
        <f t="shared" si="1093"/>
        <v>99.999761590954208</v>
      </c>
      <c r="DB282" s="21">
        <f t="shared" si="1094"/>
        <v>99.999694292369838</v>
      </c>
      <c r="DC282" s="79">
        <f t="shared" si="1177"/>
        <v>111.70779929931189</v>
      </c>
      <c r="DD282" s="79">
        <f t="shared" si="1177"/>
        <v>111.7078744773093</v>
      </c>
      <c r="DE282" s="79">
        <f t="shared" si="1178"/>
        <v>10272.460612500001</v>
      </c>
      <c r="DF282" s="79">
        <f t="shared" si="1178"/>
        <v>49.575862499999999</v>
      </c>
      <c r="DG282" s="79">
        <f t="shared" si="1096"/>
        <v>7565.5132874999999</v>
      </c>
      <c r="DH282" s="51">
        <f t="shared" si="1097"/>
        <v>17887.549762499999</v>
      </c>
      <c r="DI282" s="39"/>
      <c r="DJ282" s="80">
        <f t="shared" si="1179"/>
        <v>10423.196017919998</v>
      </c>
      <c r="DK282" s="39">
        <f t="shared" si="1180"/>
        <v>2978.2338532800004</v>
      </c>
      <c r="DL282" s="39">
        <f t="shared" si="1181"/>
        <v>6244.4780843200006</v>
      </c>
      <c r="DM282" s="48">
        <f>+AT282-'[2]тарифы (12-13) население 15%'!AP342</f>
        <v>0</v>
      </c>
      <c r="DN282" s="39"/>
      <c r="DO282" s="39"/>
      <c r="DP282" s="39"/>
      <c r="DQ282" s="39"/>
      <c r="DR282" s="39"/>
      <c r="DS282" s="39"/>
      <c r="DT282" s="39"/>
      <c r="DU282" s="19">
        <f t="shared" si="1117"/>
        <v>4093.9952542372889</v>
      </c>
      <c r="DV282" s="40">
        <f t="shared" si="1118"/>
        <v>4175.1788135593224</v>
      </c>
      <c r="DW282" s="40">
        <f t="shared" si="1119"/>
        <v>4175.1720000000005</v>
      </c>
      <c r="DX282" s="21">
        <f>+'[1]тарифы (НВВ) население на 4,2%'!CO356</f>
        <v>99.999694292369838</v>
      </c>
      <c r="DY282" s="21">
        <f t="shared" si="1120"/>
        <v>100.00016319230254</v>
      </c>
      <c r="DZ282" s="19">
        <f t="shared" si="1121"/>
        <v>23.3826936</v>
      </c>
      <c r="EA282" s="19">
        <f t="shared" si="1122"/>
        <v>23.846255999999997</v>
      </c>
      <c r="EB282" s="48"/>
      <c r="EC282" s="48"/>
      <c r="ED282" s="48"/>
      <c r="EE282" s="22">
        <v>1038.5999999999999</v>
      </c>
      <c r="EF282" s="22">
        <v>1126.5</v>
      </c>
      <c r="EG282" s="22">
        <f t="shared" si="1125"/>
        <v>108.4633160023108</v>
      </c>
      <c r="EH282" s="22">
        <f>+EE282*1.18</f>
        <v>1225.5479999999998</v>
      </c>
      <c r="EI282" s="22">
        <f>+EF282*1.18</f>
        <v>1329.27</v>
      </c>
      <c r="EJ282" s="22">
        <f t="shared" si="1126"/>
        <v>108.46331600231083</v>
      </c>
      <c r="EK282" s="40" t="s">
        <v>413</v>
      </c>
      <c r="EL282" s="19">
        <v>22.96</v>
      </c>
      <c r="EM282" s="19">
        <v>4.0200000000000005</v>
      </c>
      <c r="EN282" s="40">
        <f t="shared" si="1127"/>
        <v>4528.5300000000007</v>
      </c>
      <c r="EO282" s="40">
        <f t="shared" si="1100"/>
        <v>4528.5300000000007</v>
      </c>
      <c r="EP282" s="40"/>
      <c r="EQ282" s="21">
        <f t="shared" si="1098"/>
        <v>100</v>
      </c>
      <c r="ER282" s="21"/>
      <c r="ES282" s="21">
        <f t="shared" si="1128"/>
        <v>23846.255999999998</v>
      </c>
      <c r="ET282" s="21"/>
      <c r="EU282" s="19">
        <f t="shared" si="1102"/>
        <v>25864.440000000002</v>
      </c>
      <c r="EV282" s="21"/>
      <c r="EW282" s="39"/>
      <c r="EX282" s="39">
        <f t="shared" si="1099"/>
        <v>23846.255999999998</v>
      </c>
      <c r="EY282" s="39">
        <f t="shared" si="1079"/>
        <v>25864.440000000002</v>
      </c>
      <c r="EZ282" s="39"/>
      <c r="FA282" s="39"/>
      <c r="FB282" s="39"/>
      <c r="FC282" s="39"/>
      <c r="FD282" s="39"/>
      <c r="FE282" s="166"/>
      <c r="FF282" s="166"/>
      <c r="FG282" s="39"/>
      <c r="FH282" s="39"/>
      <c r="FI282" s="39"/>
      <c r="FJ282" s="19">
        <f t="shared" si="1129"/>
        <v>0</v>
      </c>
      <c r="FK282" s="19">
        <f t="shared" si="1130"/>
        <v>0</v>
      </c>
      <c r="FL282" s="19">
        <f t="shared" si="1101"/>
        <v>0</v>
      </c>
      <c r="FM282" s="19">
        <v>24.89</v>
      </c>
      <c r="FN282" s="19">
        <v>4.0199999999999996</v>
      </c>
      <c r="FO282" s="22">
        <v>1237.27</v>
      </c>
      <c r="FP282" s="22">
        <v>1253.03</v>
      </c>
      <c r="FQ282" s="22"/>
      <c r="FR282" s="22">
        <v>1484.72</v>
      </c>
      <c r="FS282" s="22">
        <v>1503.64</v>
      </c>
      <c r="FT282" s="22"/>
      <c r="FU282" s="40" t="s">
        <v>688</v>
      </c>
      <c r="FV282" s="19"/>
      <c r="FW282" s="19"/>
      <c r="FX282" s="19"/>
      <c r="FY282" s="19"/>
      <c r="FZ282" s="19"/>
      <c r="GA282" s="19"/>
      <c r="GB282" s="19"/>
      <c r="GC282" s="20"/>
      <c r="GD282" s="20"/>
      <c r="GE282" s="21"/>
      <c r="GF282" s="21"/>
      <c r="GG282" s="21"/>
      <c r="GH282" s="21"/>
      <c r="GI282" s="21"/>
      <c r="GJ282" s="21"/>
      <c r="GK282" s="21"/>
      <c r="GL282" s="21"/>
      <c r="GM282" s="19"/>
      <c r="GN282" s="19"/>
      <c r="GO282" s="22">
        <v>1253.03</v>
      </c>
      <c r="GP282" s="22">
        <v>1249.3900000000001</v>
      </c>
      <c r="GQ282" s="22"/>
      <c r="GR282" s="22">
        <v>1503.64</v>
      </c>
      <c r="GS282" s="22">
        <v>1499.27</v>
      </c>
      <c r="GT282" s="22"/>
      <c r="GU282" s="40" t="s">
        <v>688</v>
      </c>
      <c r="GV282" s="19"/>
      <c r="GW282" s="19"/>
      <c r="GX282" s="19"/>
      <c r="GY282" s="19"/>
      <c r="GZ282" s="23"/>
      <c r="HA282" s="22">
        <v>1249.3900000000001</v>
      </c>
      <c r="HB282" s="22">
        <v>1290.9000000000001</v>
      </c>
      <c r="HC282" s="22"/>
      <c r="HD282" s="22">
        <v>1499.27</v>
      </c>
      <c r="HE282" s="22">
        <v>1549.08</v>
      </c>
      <c r="HF282" s="22"/>
      <c r="HG282" s="236" t="s">
        <v>688</v>
      </c>
    </row>
    <row r="283" spans="2:215" ht="15.75">
      <c r="B283" s="10"/>
      <c r="C283" s="184" t="s">
        <v>300</v>
      </c>
      <c r="D283" s="73">
        <f>+'[2]2012(объемы годовые)'!I294</f>
        <v>122000</v>
      </c>
      <c r="E283" s="73">
        <f>+'[2]2012(объемы годовые)'!M294</f>
        <v>20100</v>
      </c>
      <c r="F283" s="74">
        <f>+E283*$F$3</f>
        <v>11107.26</v>
      </c>
      <c r="G283" s="74">
        <f>+E283*$G$3</f>
        <v>2996.9100000000003</v>
      </c>
      <c r="H283" s="74">
        <f>+E283*$H$3</f>
        <v>5995.83</v>
      </c>
      <c r="I283" s="73">
        <f>+'[2]2012(объемы годовые)'!Q294+'[2]2012(объемы годовые)'!U294+'[2]2012(объемы годовые)'!Y294</f>
        <v>101900</v>
      </c>
      <c r="J283" s="74">
        <f>+I283*$J$3</f>
        <v>56309.939999999995</v>
      </c>
      <c r="K283" s="74">
        <f>+I283*$K$3</f>
        <v>15193.29</v>
      </c>
      <c r="L283" s="74">
        <f>+I283*$L$3</f>
        <v>30396.77</v>
      </c>
      <c r="M283" s="73">
        <f t="shared" ref="M283:M290" si="1182">+N283+R283</f>
        <v>122000</v>
      </c>
      <c r="N283" s="73">
        <f t="shared" ref="N283:N289" si="1183">+E283</f>
        <v>20100</v>
      </c>
      <c r="O283" s="74">
        <v>11850.960000000001</v>
      </c>
      <c r="P283" s="74"/>
      <c r="Q283" s="74">
        <v>8249.0399999999991</v>
      </c>
      <c r="R283" s="73">
        <f t="shared" ref="R283:R289" si="1184">+I283</f>
        <v>101900</v>
      </c>
      <c r="S283" s="74">
        <v>60080.24</v>
      </c>
      <c r="T283" s="74"/>
      <c r="U283" s="74">
        <v>41819.760000000002</v>
      </c>
      <c r="V283" s="52">
        <v>63.75</v>
      </c>
      <c r="W283" s="52">
        <v>63.75</v>
      </c>
      <c r="X283" s="52">
        <f t="shared" si="1103"/>
        <v>100</v>
      </c>
      <c r="Y283" s="52">
        <v>67.510000000000005</v>
      </c>
      <c r="Z283" s="22">
        <f t="shared" si="1040"/>
        <v>105.89803921568628</v>
      </c>
      <c r="AA283" s="52">
        <v>70.849999999999994</v>
      </c>
      <c r="AB283" s="22">
        <f t="shared" si="1041"/>
        <v>104.94741519774846</v>
      </c>
      <c r="AC283" s="52">
        <v>70.849999999999994</v>
      </c>
      <c r="AD283" s="52">
        <v>70.849999999999994</v>
      </c>
      <c r="AE283" s="22">
        <f t="shared" si="1028"/>
        <v>111.33380381086803</v>
      </c>
      <c r="AF283" s="22">
        <v>78.88</v>
      </c>
      <c r="AG283" s="22">
        <f t="shared" si="1112"/>
        <v>111.33380381086803</v>
      </c>
      <c r="AH283" s="22">
        <v>75.23</v>
      </c>
      <c r="AI283" s="22">
        <v>75.23</v>
      </c>
      <c r="AJ283" s="52">
        <f t="shared" si="1042"/>
        <v>100</v>
      </c>
      <c r="AK283" s="22">
        <v>79.66</v>
      </c>
      <c r="AL283" s="22">
        <f t="shared" si="1043"/>
        <v>105.88860826797819</v>
      </c>
      <c r="AM283" s="22">
        <v>83.6</v>
      </c>
      <c r="AN283" s="22">
        <f t="shared" si="1044"/>
        <v>104.94602058749688</v>
      </c>
      <c r="AO283" s="22">
        <f t="shared" si="1104"/>
        <v>111.13725490196077</v>
      </c>
      <c r="AP283" s="22">
        <f t="shared" si="1045"/>
        <v>111.12588063272628</v>
      </c>
      <c r="AQ283" s="22">
        <v>83.6</v>
      </c>
      <c r="AR283" s="22">
        <v>83.6</v>
      </c>
      <c r="AS283" s="22">
        <f>+IF(AQ283=0,,AT283/AQ283*100)</f>
        <v>111.3397129186603</v>
      </c>
      <c r="AT283" s="22">
        <v>93.08</v>
      </c>
      <c r="AU283" s="22">
        <f t="shared" si="1113"/>
        <v>111.3397129186603</v>
      </c>
      <c r="AV283" s="77"/>
      <c r="AW283" s="77">
        <f t="shared" si="1139"/>
        <v>4.6597547278596583</v>
      </c>
      <c r="AX283" s="78" t="s">
        <v>414</v>
      </c>
      <c r="AY283" s="22">
        <f t="shared" si="1114"/>
        <v>0</v>
      </c>
      <c r="AZ283" s="22"/>
      <c r="BA283" s="22"/>
      <c r="BB283" s="22"/>
      <c r="BC283" s="22"/>
      <c r="BD283" s="22"/>
      <c r="BE283" s="22">
        <f t="shared" si="1115"/>
        <v>0</v>
      </c>
      <c r="BF283" s="22">
        <f>+AT283</f>
        <v>93.08</v>
      </c>
      <c r="BG283" s="22">
        <v>96.99</v>
      </c>
      <c r="BH283" s="22">
        <f t="shared" si="1116"/>
        <v>104.20068758057583</v>
      </c>
      <c r="BI283" s="22"/>
      <c r="BJ283" s="40" t="s">
        <v>415</v>
      </c>
      <c r="BK283" s="19">
        <f t="shared" si="1140"/>
        <v>7777.5851694915254</v>
      </c>
      <c r="BL283" s="19">
        <f t="shared" si="1141"/>
        <v>1281.4601694915254</v>
      </c>
      <c r="BM283" s="19">
        <f t="shared" si="1142"/>
        <v>0</v>
      </c>
      <c r="BN283" s="19">
        <f t="shared" si="1143"/>
        <v>6496.125</v>
      </c>
      <c r="BO283" s="19">
        <f t="shared" si="1144"/>
        <v>8236.1893389830511</v>
      </c>
      <c r="BP283" s="19">
        <f t="shared" si="1145"/>
        <v>1356.9203389830507</v>
      </c>
      <c r="BQ283" s="19">
        <f t="shared" si="1049"/>
        <v>0</v>
      </c>
      <c r="BR283" s="19">
        <f t="shared" si="1146"/>
        <v>6879.2690000000011</v>
      </c>
      <c r="BS283" s="19">
        <f t="shared" si="1147"/>
        <v>8643.648898305084</v>
      </c>
      <c r="BT283" s="19">
        <f t="shared" si="1148"/>
        <v>1424.0338983050847</v>
      </c>
      <c r="BU283" s="19">
        <f t="shared" si="1050"/>
        <v>0</v>
      </c>
      <c r="BV283" s="19">
        <f t="shared" si="1149"/>
        <v>7219.6149999999989</v>
      </c>
      <c r="BW283" s="19">
        <f t="shared" si="1150"/>
        <v>8643.648898305084</v>
      </c>
      <c r="BX283" s="19">
        <f t="shared" si="1151"/>
        <v>1424.0338983050847</v>
      </c>
      <c r="BY283" s="19">
        <f t="shared" si="1152"/>
        <v>0</v>
      </c>
      <c r="BZ283" s="19">
        <f t="shared" si="1153"/>
        <v>7219.6149999999989</v>
      </c>
      <c r="CA283" s="19">
        <f t="shared" si="1154"/>
        <v>9623.3872542372883</v>
      </c>
      <c r="CB283" s="19">
        <f t="shared" si="1155"/>
        <v>1585.5152542372882</v>
      </c>
      <c r="CC283" s="19">
        <f t="shared" si="1156"/>
        <v>0</v>
      </c>
      <c r="CD283" s="19">
        <f t="shared" si="1088"/>
        <v>8037.8720000000003</v>
      </c>
      <c r="CE283" s="48">
        <f t="shared" si="1157"/>
        <v>63.75</v>
      </c>
      <c r="CF283" s="48">
        <f t="shared" si="1158"/>
        <v>67.510000000000019</v>
      </c>
      <c r="CG283" s="48">
        <f t="shared" si="1159"/>
        <v>70.84999999999998</v>
      </c>
      <c r="CH283" s="48">
        <f t="shared" si="1160"/>
        <v>75.22999999999999</v>
      </c>
      <c r="CI283" s="48">
        <f t="shared" si="1161"/>
        <v>79.66</v>
      </c>
      <c r="CJ283" s="48">
        <f t="shared" si="1162"/>
        <v>83.6</v>
      </c>
      <c r="CK283" s="48">
        <f t="shared" si="1163"/>
        <v>63.750698110586271</v>
      </c>
      <c r="CL283" s="48">
        <f t="shared" si="1164"/>
        <v>67.509748680188935</v>
      </c>
      <c r="CM283" s="48">
        <f t="shared" si="1165"/>
        <v>70.849581133648229</v>
      </c>
      <c r="CN283" s="48">
        <f t="shared" si="1106"/>
        <v>67.37000930814115</v>
      </c>
      <c r="CO283" s="48">
        <f t="shared" si="1166"/>
        <v>70.84999999999998</v>
      </c>
      <c r="CP283" s="48">
        <f t="shared" si="1167"/>
        <v>78.88000000000001</v>
      </c>
      <c r="CQ283" s="48">
        <f t="shared" si="1168"/>
        <v>83.6</v>
      </c>
      <c r="CR283" s="48">
        <f t="shared" si="1169"/>
        <v>93.080000000000013</v>
      </c>
      <c r="CS283" s="48">
        <f t="shared" si="1170"/>
        <v>70.849581133648229</v>
      </c>
      <c r="CT283" s="48">
        <f t="shared" si="1171"/>
        <v>78.880223395387617</v>
      </c>
      <c r="CU283" s="48">
        <f t="shared" si="1107"/>
        <v>74.864902264517923</v>
      </c>
      <c r="CV283" s="48">
        <f t="shared" si="1172"/>
        <v>111.12496945353854</v>
      </c>
      <c r="CW283" s="19">
        <f t="shared" si="1173"/>
        <v>1335.2410240677968</v>
      </c>
      <c r="CX283" s="19">
        <f t="shared" si="1174"/>
        <v>1335.2137746000001</v>
      </c>
      <c r="CY283" s="19">
        <f t="shared" si="1175"/>
        <v>1490.3058467796611</v>
      </c>
      <c r="CZ283" s="19">
        <f t="shared" si="1176"/>
        <v>1490.3247911999999</v>
      </c>
      <c r="DA283" s="21">
        <f t="shared" si="1093"/>
        <v>100.00204083183645</v>
      </c>
      <c r="DB283" s="21">
        <f t="shared" si="1094"/>
        <v>99.998728839481785</v>
      </c>
      <c r="DC283" s="79">
        <f t="shared" si="1177"/>
        <v>111.61324584227205</v>
      </c>
      <c r="DD283" s="79">
        <f t="shared" si="1177"/>
        <v>111.61694251143174</v>
      </c>
      <c r="DE283" s="79">
        <f t="shared" si="1178"/>
        <v>5096.3255199999994</v>
      </c>
      <c r="DF283" s="79">
        <f t="shared" si="1178"/>
        <v>0</v>
      </c>
      <c r="DG283" s="79">
        <f t="shared" si="1096"/>
        <v>3949.4269440000003</v>
      </c>
      <c r="DH283" s="51">
        <f t="shared" si="1097"/>
        <v>9045.7524639999992</v>
      </c>
      <c r="DI283" s="39"/>
      <c r="DJ283" s="80">
        <f t="shared" si="1179"/>
        <v>4297.8464999999997</v>
      </c>
      <c r="DK283" s="39">
        <f t="shared" si="1180"/>
        <v>1228.0204020000003</v>
      </c>
      <c r="DL283" s="39">
        <f t="shared" si="1181"/>
        <v>2578.4157099999993</v>
      </c>
      <c r="DM283" s="48">
        <f>+AT283-'[2]тарифы (12-13) население 15%'!AP343</f>
        <v>0</v>
      </c>
      <c r="DN283" s="39"/>
      <c r="DO283" s="39"/>
      <c r="DP283" s="39"/>
      <c r="DQ283" s="39"/>
      <c r="DR283" s="39"/>
      <c r="DS283" s="39"/>
      <c r="DT283" s="39"/>
      <c r="DU283" s="19">
        <f t="shared" si="1117"/>
        <v>0</v>
      </c>
      <c r="DV283" s="40">
        <f>+'[1]тарифы (НВВ) население на 4,2%'!CL357*1.042</f>
        <v>1552.898692344407</v>
      </c>
      <c r="DW283" s="40">
        <f>+'[1]тарифы (НВВ) население на 4,2%'!CM357*1.042</f>
        <v>1552.9184324303999</v>
      </c>
      <c r="DX283" s="46"/>
      <c r="DY283" s="21">
        <f t="shared" si="1120"/>
        <v>99.998728839481799</v>
      </c>
      <c r="DZ283" s="19">
        <f t="shared" si="1121"/>
        <v>0</v>
      </c>
      <c r="EA283" s="19">
        <f t="shared" si="1122"/>
        <v>0</v>
      </c>
      <c r="EB283" s="19"/>
      <c r="EC283" s="48">
        <f t="shared" si="1123"/>
        <v>0</v>
      </c>
      <c r="ED283" s="48">
        <f t="shared" si="1124"/>
        <v>0</v>
      </c>
      <c r="EE283" s="22">
        <f>+EH283/1.18</f>
        <v>82.194915254237287</v>
      </c>
      <c r="EF283" s="22">
        <f>+(0.062*EF282)+18.8</f>
        <v>88.643000000000001</v>
      </c>
      <c r="EG283" s="22">
        <f t="shared" si="1125"/>
        <v>107.84487060521704</v>
      </c>
      <c r="EH283" s="22">
        <v>96.99</v>
      </c>
      <c r="EI283" s="22">
        <f>+EF283*1.18</f>
        <v>104.59873999999999</v>
      </c>
      <c r="EJ283" s="22">
        <f t="shared" si="1126"/>
        <v>107.84487060521704</v>
      </c>
      <c r="EK283" s="40" t="s">
        <v>416</v>
      </c>
      <c r="EL283" s="19">
        <v>122</v>
      </c>
      <c r="EM283" s="19">
        <v>32.9</v>
      </c>
      <c r="EN283" s="40">
        <f t="shared" si="1127"/>
        <v>2916.3546999999999</v>
      </c>
      <c r="EO283" s="40">
        <f t="shared" si="1100"/>
        <v>2916.3546999999999</v>
      </c>
      <c r="EP283" s="40"/>
      <c r="EQ283" s="21">
        <f t="shared" si="1098"/>
        <v>100</v>
      </c>
      <c r="ER283" s="21"/>
      <c r="ES283" s="21">
        <f t="shared" si="1128"/>
        <v>10027.77966101695</v>
      </c>
      <c r="ET283" s="21"/>
      <c r="EU283" s="19">
        <f t="shared" si="1102"/>
        <v>10814.446</v>
      </c>
      <c r="EV283" s="21"/>
      <c r="EW283" s="39"/>
      <c r="EX283" s="39">
        <f t="shared" si="1099"/>
        <v>0</v>
      </c>
      <c r="EY283" s="39">
        <f t="shared" si="1079"/>
        <v>0</v>
      </c>
      <c r="EZ283" s="39"/>
      <c r="FA283" s="39"/>
      <c r="FB283" s="39"/>
      <c r="FC283" s="39"/>
      <c r="FD283" s="39"/>
      <c r="FE283" s="166"/>
      <c r="FF283" s="166"/>
      <c r="FG283" s="39"/>
      <c r="FH283" s="39"/>
      <c r="FI283" s="39"/>
      <c r="FJ283" s="19">
        <f t="shared" si="1129"/>
        <v>0</v>
      </c>
      <c r="FK283" s="19">
        <f t="shared" si="1130"/>
        <v>0</v>
      </c>
      <c r="FL283" s="19">
        <f t="shared" si="1101"/>
        <v>0</v>
      </c>
      <c r="FM283" s="19">
        <v>122</v>
      </c>
      <c r="FN283" s="19">
        <v>32.9</v>
      </c>
      <c r="FO283" s="22">
        <v>110.18</v>
      </c>
      <c r="FP283" s="22">
        <v>112.43</v>
      </c>
      <c r="FQ283" s="22"/>
      <c r="FR283" s="22">
        <v>132.22</v>
      </c>
      <c r="FS283" s="22">
        <v>134.91999999999999</v>
      </c>
      <c r="FT283" s="22"/>
      <c r="FU283" s="40" t="s">
        <v>689</v>
      </c>
      <c r="FV283" s="19"/>
      <c r="FW283" s="19"/>
      <c r="FX283" s="19"/>
      <c r="FY283" s="19"/>
      <c r="FZ283" s="19"/>
      <c r="GA283" s="19"/>
      <c r="GB283" s="19"/>
      <c r="GC283" s="20"/>
      <c r="GD283" s="20"/>
      <c r="GE283" s="21"/>
      <c r="GF283" s="21"/>
      <c r="GG283" s="21"/>
      <c r="GH283" s="21"/>
      <c r="GI283" s="21"/>
      <c r="GJ283" s="21"/>
      <c r="GK283" s="21"/>
      <c r="GL283" s="21"/>
      <c r="GM283" s="19"/>
      <c r="GN283" s="19"/>
      <c r="GO283" s="22">
        <v>112.43</v>
      </c>
      <c r="GP283" s="22">
        <v>113.51</v>
      </c>
      <c r="GQ283" s="22"/>
      <c r="GR283" s="22">
        <v>134.91999999999999</v>
      </c>
      <c r="GS283" s="22">
        <v>136.21</v>
      </c>
      <c r="GT283" s="22"/>
      <c r="GU283" s="40" t="s">
        <v>689</v>
      </c>
      <c r="GV283" s="19"/>
      <c r="GW283" s="19"/>
      <c r="GX283" s="19"/>
      <c r="GY283" s="19"/>
      <c r="GZ283" s="23"/>
      <c r="HA283" s="22">
        <v>113.51</v>
      </c>
      <c r="HB283" s="22">
        <v>117.52</v>
      </c>
      <c r="HC283" s="22"/>
      <c r="HD283" s="22">
        <v>136.21</v>
      </c>
      <c r="HE283" s="22">
        <v>141.02000000000001</v>
      </c>
      <c r="HF283" s="22"/>
      <c r="HG283" s="236" t="s">
        <v>689</v>
      </c>
    </row>
    <row r="284" spans="2:215" ht="15.75">
      <c r="B284" s="10" t="s">
        <v>417</v>
      </c>
      <c r="C284" s="81" t="s">
        <v>418</v>
      </c>
      <c r="D284" s="46"/>
      <c r="E284" s="46"/>
      <c r="F284" s="46"/>
      <c r="G284" s="46"/>
      <c r="H284" s="46"/>
      <c r="I284" s="46"/>
      <c r="J284" s="46"/>
      <c r="K284" s="46"/>
      <c r="L284" s="46"/>
      <c r="M284" s="73">
        <f t="shared" si="1182"/>
        <v>0</v>
      </c>
      <c r="N284" s="73">
        <f t="shared" si="1183"/>
        <v>0</v>
      </c>
      <c r="O284" s="46"/>
      <c r="P284" s="46"/>
      <c r="Q284" s="46"/>
      <c r="R284" s="73">
        <f t="shared" si="1184"/>
        <v>0</v>
      </c>
      <c r="S284" s="46"/>
      <c r="T284" s="46"/>
      <c r="U284" s="46"/>
      <c r="V284" s="52"/>
      <c r="W284" s="52"/>
      <c r="X284" s="52">
        <f t="shared" si="1103"/>
        <v>0</v>
      </c>
      <c r="Y284" s="52"/>
      <c r="Z284" s="22">
        <f t="shared" si="1040"/>
        <v>0</v>
      </c>
      <c r="AA284" s="52"/>
      <c r="AB284" s="22">
        <f t="shared" si="1041"/>
        <v>0</v>
      </c>
      <c r="AC284" s="22"/>
      <c r="AD284" s="22"/>
      <c r="AE284" s="22">
        <f t="shared" ref="AE284:AE326" si="1185">+IF(AC284=0,,AF284/AC284*100)</f>
        <v>0</v>
      </c>
      <c r="AF284" s="22"/>
      <c r="AG284" s="22">
        <f t="shared" si="1112"/>
        <v>0</v>
      </c>
      <c r="AH284" s="52"/>
      <c r="AI284" s="52"/>
      <c r="AJ284" s="52">
        <f t="shared" si="1042"/>
        <v>0</v>
      </c>
      <c r="AK284" s="52"/>
      <c r="AL284" s="22">
        <f t="shared" si="1043"/>
        <v>0</v>
      </c>
      <c r="AM284" s="52"/>
      <c r="AN284" s="22">
        <f t="shared" si="1044"/>
        <v>0</v>
      </c>
      <c r="AO284" s="22">
        <f t="shared" si="1104"/>
        <v>0</v>
      </c>
      <c r="AP284" s="22">
        <f t="shared" si="1045"/>
        <v>0</v>
      </c>
      <c r="AQ284" s="22"/>
      <c r="AR284" s="22"/>
      <c r="AS284" s="22">
        <f t="shared" ref="AS284:AS326" si="1186">+IF(AQ284=0,,AT284/AQ284*100)</f>
        <v>0</v>
      </c>
      <c r="AT284" s="22"/>
      <c r="AU284" s="22">
        <f t="shared" si="1113"/>
        <v>0</v>
      </c>
      <c r="AV284" s="77"/>
      <c r="AW284" s="77">
        <f t="shared" si="1139"/>
        <v>0</v>
      </c>
      <c r="AX284" s="78"/>
      <c r="AY284" s="22">
        <f t="shared" si="1114"/>
        <v>0</v>
      </c>
      <c r="AZ284" s="22"/>
      <c r="BA284" s="22"/>
      <c r="BB284" s="22"/>
      <c r="BC284" s="22"/>
      <c r="BD284" s="22"/>
      <c r="BE284" s="22">
        <f t="shared" si="1115"/>
        <v>0</v>
      </c>
      <c r="BF284" s="22"/>
      <c r="BG284" s="22"/>
      <c r="BH284" s="22">
        <f t="shared" si="1116"/>
        <v>0</v>
      </c>
      <c r="BI284" s="22"/>
      <c r="BJ284" s="40"/>
      <c r="BK284" s="19">
        <f t="shared" si="1140"/>
        <v>0</v>
      </c>
      <c r="BL284" s="19">
        <f t="shared" si="1141"/>
        <v>0</v>
      </c>
      <c r="BM284" s="19">
        <f t="shared" si="1142"/>
        <v>0</v>
      </c>
      <c r="BN284" s="19">
        <f t="shared" si="1143"/>
        <v>0</v>
      </c>
      <c r="BO284" s="19">
        <f t="shared" si="1144"/>
        <v>0</v>
      </c>
      <c r="BP284" s="19">
        <f t="shared" si="1145"/>
        <v>0</v>
      </c>
      <c r="BQ284" s="19">
        <f t="shared" ref="BQ284:BQ289" si="1187">+(Y284-ROUND(AK284/1.18,2))*E284/1000</f>
        <v>0</v>
      </c>
      <c r="BR284" s="19">
        <f t="shared" si="1146"/>
        <v>0</v>
      </c>
      <c r="BS284" s="19">
        <f t="shared" si="1147"/>
        <v>0</v>
      </c>
      <c r="BT284" s="19">
        <f t="shared" si="1148"/>
        <v>0</v>
      </c>
      <c r="BU284" s="19">
        <f t="shared" ref="BU284:BU289" si="1188">+(AA284-ROUND(AM284/1.18,2))*E284/1000</f>
        <v>0</v>
      </c>
      <c r="BV284" s="19">
        <f t="shared" si="1149"/>
        <v>0</v>
      </c>
      <c r="BW284" s="19">
        <f t="shared" si="1150"/>
        <v>0</v>
      </c>
      <c r="BX284" s="19">
        <f t="shared" si="1151"/>
        <v>0</v>
      </c>
      <c r="BY284" s="19">
        <f t="shared" si="1152"/>
        <v>0</v>
      </c>
      <c r="BZ284" s="19">
        <f t="shared" si="1153"/>
        <v>0</v>
      </c>
      <c r="CA284" s="19">
        <f t="shared" si="1154"/>
        <v>0</v>
      </c>
      <c r="CB284" s="19">
        <f t="shared" si="1155"/>
        <v>0</v>
      </c>
      <c r="CC284" s="19">
        <f t="shared" si="1156"/>
        <v>0</v>
      </c>
      <c r="CD284" s="19">
        <f t="shared" si="1088"/>
        <v>0</v>
      </c>
      <c r="CE284" s="48">
        <f t="shared" si="1157"/>
        <v>0</v>
      </c>
      <c r="CF284" s="48">
        <f t="shared" si="1158"/>
        <v>0</v>
      </c>
      <c r="CG284" s="48">
        <f t="shared" si="1159"/>
        <v>0</v>
      </c>
      <c r="CH284" s="48">
        <f t="shared" si="1160"/>
        <v>0</v>
      </c>
      <c r="CI284" s="48">
        <f t="shared" si="1161"/>
        <v>0</v>
      </c>
      <c r="CJ284" s="48">
        <f t="shared" si="1162"/>
        <v>0</v>
      </c>
      <c r="CK284" s="48">
        <f t="shared" si="1163"/>
        <v>0</v>
      </c>
      <c r="CL284" s="48">
        <f t="shared" si="1164"/>
        <v>0</v>
      </c>
      <c r="CM284" s="48">
        <f t="shared" si="1165"/>
        <v>0</v>
      </c>
      <c r="CN284" s="48">
        <f t="shared" si="1106"/>
        <v>0</v>
      </c>
      <c r="CO284" s="48">
        <f t="shared" si="1166"/>
        <v>0</v>
      </c>
      <c r="CP284" s="48">
        <f t="shared" si="1167"/>
        <v>0</v>
      </c>
      <c r="CQ284" s="48">
        <f t="shared" si="1168"/>
        <v>0</v>
      </c>
      <c r="CR284" s="48">
        <f t="shared" si="1169"/>
        <v>0</v>
      </c>
      <c r="CS284" s="48">
        <f t="shared" si="1170"/>
        <v>0</v>
      </c>
      <c r="CT284" s="48">
        <f t="shared" si="1171"/>
        <v>0</v>
      </c>
      <c r="CU284" s="48">
        <f t="shared" si="1107"/>
        <v>0</v>
      </c>
      <c r="CV284" s="48">
        <f t="shared" si="1172"/>
        <v>0</v>
      </c>
      <c r="CW284" s="19">
        <f t="shared" si="1173"/>
        <v>0</v>
      </c>
      <c r="CX284" s="19">
        <f t="shared" si="1174"/>
        <v>0</v>
      </c>
      <c r="CY284" s="19">
        <f t="shared" si="1175"/>
        <v>0</v>
      </c>
      <c r="CZ284" s="19">
        <f t="shared" si="1176"/>
        <v>0</v>
      </c>
      <c r="DA284" s="21">
        <f t="shared" si="1093"/>
        <v>0</v>
      </c>
      <c r="DB284" s="21">
        <f t="shared" si="1094"/>
        <v>0</v>
      </c>
      <c r="DC284" s="79">
        <f t="shared" si="1177"/>
        <v>0</v>
      </c>
      <c r="DD284" s="79">
        <f t="shared" si="1177"/>
        <v>0</v>
      </c>
      <c r="DE284" s="79">
        <f t="shared" si="1178"/>
        <v>0</v>
      </c>
      <c r="DF284" s="79">
        <f t="shared" si="1178"/>
        <v>0</v>
      </c>
      <c r="DG284" s="79">
        <f t="shared" si="1096"/>
        <v>0</v>
      </c>
      <c r="DH284" s="51">
        <f t="shared" si="1097"/>
        <v>0</v>
      </c>
      <c r="DI284" s="39"/>
      <c r="DJ284" s="80">
        <f t="shared" si="1179"/>
        <v>0</v>
      </c>
      <c r="DK284" s="39">
        <f t="shared" si="1180"/>
        <v>0</v>
      </c>
      <c r="DL284" s="39">
        <f t="shared" si="1181"/>
        <v>0</v>
      </c>
      <c r="DM284" s="48">
        <f>+AT284-'[2]тарифы (12-13) население 15%'!AP348</f>
        <v>0</v>
      </c>
      <c r="DN284" s="39"/>
      <c r="DO284" s="39"/>
      <c r="DP284" s="39"/>
      <c r="DQ284" s="39"/>
      <c r="DR284" s="39"/>
      <c r="DS284" s="39"/>
      <c r="DT284" s="39"/>
      <c r="DU284" s="19">
        <f t="shared" si="1117"/>
        <v>0</v>
      </c>
      <c r="DV284" s="40">
        <f t="shared" si="1118"/>
        <v>0</v>
      </c>
      <c r="DW284" s="40">
        <f t="shared" si="1119"/>
        <v>0</v>
      </c>
      <c r="DX284" s="46"/>
      <c r="DY284" s="21">
        <f t="shared" si="1120"/>
        <v>0</v>
      </c>
      <c r="DZ284" s="19">
        <f t="shared" si="1121"/>
        <v>0</v>
      </c>
      <c r="EA284" s="19">
        <f t="shared" si="1122"/>
        <v>0</v>
      </c>
      <c r="EB284" s="19"/>
      <c r="EC284" s="48">
        <f t="shared" si="1123"/>
        <v>0</v>
      </c>
      <c r="ED284" s="48">
        <f t="shared" si="1124"/>
        <v>0</v>
      </c>
      <c r="EE284" s="22"/>
      <c r="EF284" s="22"/>
      <c r="EG284" s="22">
        <f t="shared" si="1125"/>
        <v>0</v>
      </c>
      <c r="EH284" s="22"/>
      <c r="EI284" s="22"/>
      <c r="EJ284" s="22">
        <f t="shared" si="1126"/>
        <v>0</v>
      </c>
      <c r="EK284" s="40"/>
      <c r="EL284" s="19"/>
      <c r="EM284" s="19"/>
      <c r="EN284" s="40">
        <f t="shared" si="1127"/>
        <v>0</v>
      </c>
      <c r="EO284" s="40">
        <f t="shared" si="1100"/>
        <v>0</v>
      </c>
      <c r="EP284" s="40"/>
      <c r="EQ284" s="21">
        <f t="shared" si="1098"/>
        <v>0</v>
      </c>
      <c r="ER284" s="21"/>
      <c r="ES284" s="21">
        <f t="shared" si="1128"/>
        <v>0</v>
      </c>
      <c r="ET284" s="21"/>
      <c r="EU284" s="19">
        <f t="shared" si="1102"/>
        <v>0</v>
      </c>
      <c r="EV284" s="21"/>
      <c r="EW284" s="39"/>
      <c r="EX284" s="39">
        <f t="shared" si="1099"/>
        <v>0</v>
      </c>
      <c r="EY284" s="39">
        <f t="shared" si="1079"/>
        <v>0</v>
      </c>
      <c r="EZ284" s="39"/>
      <c r="FA284" s="39"/>
      <c r="FB284" s="39"/>
      <c r="FC284" s="39"/>
      <c r="FD284" s="39"/>
      <c r="FE284" s="39"/>
      <c r="FF284" s="39"/>
      <c r="FG284" s="39"/>
      <c r="FH284" s="39"/>
      <c r="FI284" s="39"/>
      <c r="FJ284" s="19">
        <f t="shared" si="1129"/>
        <v>0</v>
      </c>
      <c r="FK284" s="19">
        <f t="shared" si="1130"/>
        <v>0</v>
      </c>
      <c r="FL284" s="19">
        <f t="shared" si="1101"/>
        <v>0</v>
      </c>
      <c r="FM284" s="19"/>
      <c r="FN284" s="19"/>
      <c r="FO284" s="22"/>
      <c r="FP284" s="22"/>
      <c r="FQ284" s="22"/>
      <c r="FR284" s="22"/>
      <c r="FS284" s="22"/>
      <c r="FT284" s="22"/>
      <c r="FU284" s="40"/>
      <c r="FV284" s="19"/>
      <c r="FW284" s="19"/>
      <c r="FX284" s="19"/>
      <c r="FY284" s="19"/>
      <c r="FZ284" s="19"/>
      <c r="GA284" s="19"/>
      <c r="GB284" s="19"/>
      <c r="GC284" s="20"/>
      <c r="GD284" s="20"/>
      <c r="GE284" s="21"/>
      <c r="GF284" s="21"/>
      <c r="GG284" s="21"/>
      <c r="GH284" s="21"/>
      <c r="GI284" s="21"/>
      <c r="GJ284" s="21"/>
      <c r="GK284" s="21"/>
      <c r="GL284" s="21"/>
      <c r="GM284" s="19"/>
      <c r="GN284" s="19"/>
      <c r="GO284" s="22"/>
      <c r="GP284" s="22"/>
      <c r="GQ284" s="22"/>
      <c r="GR284" s="22"/>
      <c r="GS284" s="22"/>
      <c r="GT284" s="22"/>
      <c r="GU284" s="43"/>
      <c r="GV284" s="19"/>
      <c r="GW284" s="19"/>
      <c r="GX284" s="19"/>
      <c r="GY284" s="19"/>
      <c r="GZ284" s="23"/>
      <c r="HA284" s="22"/>
      <c r="HB284" s="22"/>
      <c r="HC284" s="22"/>
      <c r="HD284" s="22"/>
      <c r="HE284" s="22"/>
      <c r="HF284" s="22"/>
      <c r="HG284" s="233"/>
    </row>
    <row r="285" spans="2:215" ht="15.75">
      <c r="B285" s="10"/>
      <c r="C285" s="161" t="s">
        <v>204</v>
      </c>
      <c r="D285" s="73">
        <f>+'[2]2012(объемы годовые)'!I300</f>
        <v>11435</v>
      </c>
      <c r="E285" s="73">
        <f>+'[2]2012(объемы годовые)'!M300</f>
        <v>292</v>
      </c>
      <c r="F285" s="74">
        <f>+E285*$F$3</f>
        <v>161.35919999999999</v>
      </c>
      <c r="G285" s="74">
        <f>+E285*$G$3</f>
        <v>43.537200000000006</v>
      </c>
      <c r="H285" s="74">
        <f>+E285*$H$3</f>
        <v>87.1036</v>
      </c>
      <c r="I285" s="73">
        <f>+'[2]2012(объемы годовые)'!Q300+'[2]2012(объемы годовые)'!U300+'[2]2012(объемы годовые)'!Y300</f>
        <v>11143</v>
      </c>
      <c r="J285" s="74">
        <f>+I285*$J$3</f>
        <v>6157.6217999999999</v>
      </c>
      <c r="K285" s="74">
        <f>+I285*$K$3</f>
        <v>1661.4213000000002</v>
      </c>
      <c r="L285" s="74">
        <f>+I285*$L$3</f>
        <v>3323.9569000000001</v>
      </c>
      <c r="M285" s="73">
        <f t="shared" si="1182"/>
        <v>9974.9999999999982</v>
      </c>
      <c r="N285" s="75">
        <f>+O285+P285+Q285</f>
        <v>291.99</v>
      </c>
      <c r="O285" s="74">
        <v>168.83</v>
      </c>
      <c r="P285" s="74">
        <v>2.4500000000000002</v>
      </c>
      <c r="Q285" s="74">
        <v>120.71</v>
      </c>
      <c r="R285" s="75">
        <f>+S285+T285+U285</f>
        <v>9683.0099999999984</v>
      </c>
      <c r="S285" s="74">
        <v>5825.1399999999994</v>
      </c>
      <c r="T285" s="74">
        <v>26.48</v>
      </c>
      <c r="U285" s="74">
        <v>3831.39</v>
      </c>
      <c r="V285" s="52">
        <v>756.02</v>
      </c>
      <c r="W285" s="52">
        <v>756.02</v>
      </c>
      <c r="X285" s="52">
        <f t="shared" si="1103"/>
        <v>100</v>
      </c>
      <c r="Y285" s="52">
        <v>800.63</v>
      </c>
      <c r="Z285" s="22">
        <f t="shared" si="1040"/>
        <v>105.9006375492712</v>
      </c>
      <c r="AA285" s="52">
        <v>839.06</v>
      </c>
      <c r="AB285" s="22">
        <f t="shared" si="1041"/>
        <v>104.79997002360642</v>
      </c>
      <c r="AC285" s="52">
        <v>839.06</v>
      </c>
      <c r="AD285" s="52">
        <v>839.06</v>
      </c>
      <c r="AE285" s="22">
        <f t="shared" si="1185"/>
        <v>111.69999761638026</v>
      </c>
      <c r="AF285" s="22">
        <v>937.23</v>
      </c>
      <c r="AG285" s="22">
        <f t="shared" si="1112"/>
        <v>111.69999761638026</v>
      </c>
      <c r="AH285" s="22">
        <v>892.1</v>
      </c>
      <c r="AI285" s="22">
        <v>892.1</v>
      </c>
      <c r="AJ285" s="52">
        <f t="shared" si="1042"/>
        <v>100</v>
      </c>
      <c r="AK285" s="22">
        <v>944.74</v>
      </c>
      <c r="AL285" s="22">
        <f t="shared" si="1043"/>
        <v>105.90068377984532</v>
      </c>
      <c r="AM285" s="22">
        <v>990.09</v>
      </c>
      <c r="AN285" s="22">
        <f t="shared" si="1044"/>
        <v>104.80026250608634</v>
      </c>
      <c r="AO285" s="22">
        <f t="shared" si="1104"/>
        <v>110.98383640644427</v>
      </c>
      <c r="AP285" s="22">
        <f t="shared" si="1045"/>
        <v>110.98419459701827</v>
      </c>
      <c r="AQ285" s="22">
        <v>990.09</v>
      </c>
      <c r="AR285" s="22">
        <v>990.09</v>
      </c>
      <c r="AS285" s="22">
        <f t="shared" si="1186"/>
        <v>111.69994646951287</v>
      </c>
      <c r="AT285" s="22">
        <v>1105.93</v>
      </c>
      <c r="AU285" s="22">
        <f t="shared" si="1113"/>
        <v>111.69994646951287</v>
      </c>
      <c r="AV285" s="77"/>
      <c r="AW285" s="77">
        <f t="shared" si="1139"/>
        <v>0.8030860839298104</v>
      </c>
      <c r="AX285" s="78" t="s">
        <v>419</v>
      </c>
      <c r="AY285" s="22">
        <f t="shared" si="1114"/>
        <v>11.434999999999999</v>
      </c>
      <c r="AZ285" s="22">
        <f>+[8]БПр!$BX$690/1000</f>
        <v>0.29199999999999998</v>
      </c>
      <c r="BA285" s="22">
        <f>+[8]БПр!$BW$690/1000</f>
        <v>0.5</v>
      </c>
      <c r="BB285" s="22">
        <f>+([8]БПр!$BY$690+[8]БПр!$BO$690)/1000</f>
        <v>10.642999999999999</v>
      </c>
      <c r="BC285" s="22">
        <v>937.2</v>
      </c>
      <c r="BD285" s="22">
        <v>954.8</v>
      </c>
      <c r="BE285" s="22">
        <f t="shared" si="1115"/>
        <v>101.87793427230045</v>
      </c>
      <c r="BF285" s="22">
        <v>1105.8900000000001</v>
      </c>
      <c r="BG285" s="22">
        <v>1126.6600000000001</v>
      </c>
      <c r="BH285" s="22">
        <f t="shared" si="1116"/>
        <v>101.87812531083563</v>
      </c>
      <c r="BI285" s="22">
        <f>+BD285-BG285/1.18</f>
        <v>3.3898305083539526E-3</v>
      </c>
      <c r="BJ285" s="40" t="s">
        <v>420</v>
      </c>
      <c r="BK285" s="19">
        <f t="shared" si="1140"/>
        <v>8645.0878091525428</v>
      </c>
      <c r="BL285" s="19">
        <f t="shared" si="1141"/>
        <v>220.7569491525424</v>
      </c>
      <c r="BM285" s="19">
        <f t="shared" si="1142"/>
        <v>0</v>
      </c>
      <c r="BN285" s="19">
        <f t="shared" si="1143"/>
        <v>8424.33086</v>
      </c>
      <c r="BO285" s="19">
        <f t="shared" si="1144"/>
        <v>9155.2032086440668</v>
      </c>
      <c r="BP285" s="19">
        <f t="shared" si="1145"/>
        <v>233.78311864406783</v>
      </c>
      <c r="BQ285" s="19">
        <f t="shared" si="1187"/>
        <v>0</v>
      </c>
      <c r="BR285" s="19">
        <f t="shared" si="1146"/>
        <v>8921.4200899999996</v>
      </c>
      <c r="BS285" s="19">
        <f t="shared" si="1147"/>
        <v>9594.6509020338981</v>
      </c>
      <c r="BT285" s="19">
        <f t="shared" si="1148"/>
        <v>245.00532203389832</v>
      </c>
      <c r="BU285" s="19">
        <f t="shared" si="1188"/>
        <v>0</v>
      </c>
      <c r="BV285" s="19">
        <f t="shared" si="1149"/>
        <v>9349.6455800000003</v>
      </c>
      <c r="BW285" s="19">
        <f t="shared" si="1150"/>
        <v>8369.6233020406762</v>
      </c>
      <c r="BX285" s="19">
        <f t="shared" si="1151"/>
        <v>244.99693144067803</v>
      </c>
      <c r="BY285" s="19">
        <f t="shared" si="1152"/>
        <v>0</v>
      </c>
      <c r="BZ285" s="19">
        <f t="shared" si="1153"/>
        <v>8124.6263705999982</v>
      </c>
      <c r="CA285" s="19">
        <f t="shared" si="1154"/>
        <v>9348.868903571185</v>
      </c>
      <c r="CB285" s="19">
        <f t="shared" si="1155"/>
        <v>273.66144127118645</v>
      </c>
      <c r="CC285" s="19">
        <f t="shared" si="1156"/>
        <v>0</v>
      </c>
      <c r="CD285" s="19">
        <f t="shared" si="1088"/>
        <v>9075.207462299999</v>
      </c>
      <c r="CE285" s="48">
        <f t="shared" si="1157"/>
        <v>870.01158317506656</v>
      </c>
      <c r="CF285" s="48">
        <f t="shared" si="1158"/>
        <v>800.63</v>
      </c>
      <c r="CG285" s="48">
        <f t="shared" si="1159"/>
        <v>839.06000000000006</v>
      </c>
      <c r="CH285" s="48">
        <f t="shared" si="1160"/>
        <v>892.1</v>
      </c>
      <c r="CI285" s="48">
        <f t="shared" si="1161"/>
        <v>944.74</v>
      </c>
      <c r="CJ285" s="48">
        <f t="shared" si="1162"/>
        <v>990.09</v>
      </c>
      <c r="CK285" s="48">
        <f t="shared" si="1163"/>
        <v>756.01992209466925</v>
      </c>
      <c r="CL285" s="48">
        <f t="shared" si="1164"/>
        <v>800.62992642274298</v>
      </c>
      <c r="CM285" s="48">
        <f t="shared" si="1165"/>
        <v>839.05998268770418</v>
      </c>
      <c r="CN285" s="48">
        <f t="shared" si="1106"/>
        <v>798.56994373503903</v>
      </c>
      <c r="CO285" s="48">
        <f t="shared" si="1166"/>
        <v>839.06</v>
      </c>
      <c r="CP285" s="48">
        <f t="shared" si="1167"/>
        <v>937.23</v>
      </c>
      <c r="CQ285" s="48">
        <f t="shared" si="1168"/>
        <v>990.09000000000015</v>
      </c>
      <c r="CR285" s="48">
        <f t="shared" si="1169"/>
        <v>1105.93</v>
      </c>
      <c r="CS285" s="48">
        <f t="shared" si="1170"/>
        <v>839.05998015445391</v>
      </c>
      <c r="CT285" s="48">
        <f t="shared" si="1171"/>
        <v>937.22996527029443</v>
      </c>
      <c r="CU285" s="48">
        <f t="shared" si="1107"/>
        <v>888.14497271237406</v>
      </c>
      <c r="CV285" s="48">
        <f t="shared" si="1172"/>
        <v>111.21692967285726</v>
      </c>
      <c r="CW285" s="19">
        <f t="shared" si="1173"/>
        <v>229.9324406542373</v>
      </c>
      <c r="CX285" s="19">
        <f t="shared" si="1174"/>
        <v>229.93311743599997</v>
      </c>
      <c r="CY285" s="19">
        <f t="shared" si="1175"/>
        <v>256.84697076271192</v>
      </c>
      <c r="CZ285" s="19">
        <f t="shared" si="1176"/>
        <v>256.84723009999999</v>
      </c>
      <c r="DA285" s="21">
        <f t="shared" si="1093"/>
        <v>99.9997056614679</v>
      </c>
      <c r="DB285" s="21">
        <f t="shared" si="1094"/>
        <v>99.999899030529562</v>
      </c>
      <c r="DC285" s="79">
        <f t="shared" si="1177"/>
        <v>111.70540791542658</v>
      </c>
      <c r="DD285" s="79">
        <f t="shared" si="1177"/>
        <v>111.70519191150939</v>
      </c>
      <c r="DE285" s="79">
        <f t="shared" si="1178"/>
        <v>5029.3004681999992</v>
      </c>
      <c r="DF285" s="79">
        <f t="shared" si="1178"/>
        <v>24.274005799999998</v>
      </c>
      <c r="DG285" s="79">
        <f t="shared" si="1096"/>
        <v>3704.026683</v>
      </c>
      <c r="DH285" s="51">
        <f t="shared" si="1097"/>
        <v>8757.6011569999991</v>
      </c>
      <c r="DI285" s="39"/>
      <c r="DJ285" s="80">
        <f t="shared" si="1179"/>
        <v>4777.2760156200002</v>
      </c>
      <c r="DK285" s="39">
        <f t="shared" si="1180"/>
        <v>1365.0409238550001</v>
      </c>
      <c r="DL285" s="39">
        <f t="shared" si="1181"/>
        <v>2862.0844231300002</v>
      </c>
      <c r="DM285" s="48">
        <f>+AT285-'[2]тарифы (12-13) население 15%'!AP349</f>
        <v>0</v>
      </c>
      <c r="DN285" s="39"/>
      <c r="DO285" s="39"/>
      <c r="DP285" s="39"/>
      <c r="DQ285" s="39"/>
      <c r="DR285" s="39"/>
      <c r="DS285" s="39"/>
      <c r="DT285" s="39"/>
      <c r="DU285" s="19">
        <f t="shared" si="1117"/>
        <v>273.66091525423735</v>
      </c>
      <c r="DV285" s="40">
        <f t="shared" si="1118"/>
        <v>278.80061016949151</v>
      </c>
      <c r="DW285" s="40">
        <f t="shared" si="1119"/>
        <v>278.80159999999995</v>
      </c>
      <c r="DX285" s="21">
        <f>+'[1]тарифы (НВВ) население на 4,2%'!CO363</f>
        <v>99.999899030529562</v>
      </c>
      <c r="DY285" s="21">
        <f t="shared" si="1120"/>
        <v>99.999644969573907</v>
      </c>
      <c r="DZ285" s="19">
        <f t="shared" si="1121"/>
        <v>10.716882</v>
      </c>
      <c r="EA285" s="19">
        <f t="shared" si="1122"/>
        <v>10.918137999999999</v>
      </c>
      <c r="EB285" s="19"/>
      <c r="EC285" s="48"/>
      <c r="ED285" s="48"/>
      <c r="EE285" s="22">
        <v>933.73</v>
      </c>
      <c r="EF285" s="22">
        <v>1003.17</v>
      </c>
      <c r="EG285" s="22">
        <f t="shared" si="1125"/>
        <v>107.4368393432791</v>
      </c>
      <c r="EH285" s="22">
        <v>1101.8</v>
      </c>
      <c r="EI285" s="22">
        <v>1183.74</v>
      </c>
      <c r="EJ285" s="22">
        <f t="shared" si="1126"/>
        <v>107.43692140134327</v>
      </c>
      <c r="EK285" s="40" t="s">
        <v>421</v>
      </c>
      <c r="EL285" s="19">
        <v>11.434999999999999</v>
      </c>
      <c r="EM285" s="19">
        <v>0.29199999999999998</v>
      </c>
      <c r="EN285" s="40">
        <f t="shared" si="1127"/>
        <v>292.92549152542369</v>
      </c>
      <c r="EO285" s="40">
        <f t="shared" si="1100"/>
        <v>292.92563999999999</v>
      </c>
      <c r="EP285" s="40"/>
      <c r="EQ285" s="21">
        <f t="shared" si="1098"/>
        <v>99.99994931321946</v>
      </c>
      <c r="ER285" s="21"/>
      <c r="ES285" s="21">
        <f t="shared" si="1128"/>
        <v>10677.202549999998</v>
      </c>
      <c r="ET285" s="21"/>
      <c r="EU285" s="19">
        <f t="shared" si="1102"/>
        <v>11471.248949999997</v>
      </c>
      <c r="EV285" s="21"/>
      <c r="EW285" s="39"/>
      <c r="EX285" s="39">
        <f t="shared" si="1099"/>
        <v>10918.137999999999</v>
      </c>
      <c r="EY285" s="39">
        <f t="shared" si="1079"/>
        <v>11471.248949999997</v>
      </c>
      <c r="EZ285" s="39"/>
      <c r="FA285" s="39"/>
      <c r="FB285" s="39"/>
      <c r="FC285" s="39"/>
      <c r="FD285" s="39"/>
      <c r="FE285" s="39"/>
      <c r="FF285" s="39"/>
      <c r="FG285" s="39"/>
      <c r="FH285" s="39"/>
      <c r="FI285" s="39"/>
      <c r="FJ285" s="19"/>
      <c r="FK285" s="19"/>
      <c r="FL285" s="19">
        <f t="shared" si="1101"/>
        <v>0</v>
      </c>
      <c r="FM285" s="19">
        <v>11.435</v>
      </c>
      <c r="FN285" s="19">
        <v>0.28999999999999998</v>
      </c>
      <c r="FO285" s="22">
        <v>1104.6300000000001</v>
      </c>
      <c r="FP285" s="22">
        <v>1129.82</v>
      </c>
      <c r="FQ285" s="22"/>
      <c r="FR285" s="22">
        <v>1325.56</v>
      </c>
      <c r="FS285" s="22">
        <v>1355.78</v>
      </c>
      <c r="FT285" s="22"/>
      <c r="FU285" s="40" t="s">
        <v>690</v>
      </c>
      <c r="FV285" s="19"/>
      <c r="FW285" s="19"/>
      <c r="FX285" s="19"/>
      <c r="FY285" s="19"/>
      <c r="FZ285" s="19"/>
      <c r="GA285" s="19"/>
      <c r="GB285" s="19"/>
      <c r="GC285" s="20"/>
      <c r="GD285" s="20"/>
      <c r="GE285" s="21"/>
      <c r="GF285" s="21"/>
      <c r="GG285" s="21"/>
      <c r="GH285" s="21"/>
      <c r="GI285" s="21"/>
      <c r="GJ285" s="21"/>
      <c r="GK285" s="21"/>
      <c r="GL285" s="21"/>
      <c r="GM285" s="19"/>
      <c r="GN285" s="19"/>
      <c r="GO285" s="22">
        <v>1129.82</v>
      </c>
      <c r="GP285" s="22">
        <v>1156.78</v>
      </c>
      <c r="GQ285" s="22"/>
      <c r="GR285" s="22">
        <v>1355.78</v>
      </c>
      <c r="GS285" s="22">
        <v>1388.14</v>
      </c>
      <c r="GT285" s="22"/>
      <c r="GU285" s="40" t="s">
        <v>690</v>
      </c>
      <c r="GV285" s="19"/>
      <c r="GW285" s="19"/>
      <c r="GX285" s="19"/>
      <c r="GY285" s="19"/>
      <c r="GZ285" s="23"/>
      <c r="HA285" s="22">
        <v>1156.78</v>
      </c>
      <c r="HB285" s="22">
        <v>1193.67</v>
      </c>
      <c r="HC285" s="22"/>
      <c r="HD285" s="22">
        <v>1388.14</v>
      </c>
      <c r="HE285" s="22">
        <v>1432.4</v>
      </c>
      <c r="HF285" s="22"/>
      <c r="HG285" s="236" t="s">
        <v>690</v>
      </c>
    </row>
    <row r="286" spans="2:215" ht="15.75">
      <c r="B286" s="10" t="s">
        <v>422</v>
      </c>
      <c r="C286" s="81" t="s">
        <v>581</v>
      </c>
      <c r="D286" s="46"/>
      <c r="E286" s="46"/>
      <c r="F286" s="46"/>
      <c r="G286" s="46"/>
      <c r="H286" s="46"/>
      <c r="I286" s="46"/>
      <c r="J286" s="46"/>
      <c r="K286" s="46"/>
      <c r="L286" s="46"/>
      <c r="M286" s="73">
        <f t="shared" si="1182"/>
        <v>0</v>
      </c>
      <c r="N286" s="73">
        <f t="shared" si="1183"/>
        <v>0</v>
      </c>
      <c r="O286" s="46"/>
      <c r="P286" s="46"/>
      <c r="Q286" s="46"/>
      <c r="R286" s="73">
        <f t="shared" si="1184"/>
        <v>0</v>
      </c>
      <c r="S286" s="46"/>
      <c r="T286" s="46"/>
      <c r="U286" s="46"/>
      <c r="V286" s="52"/>
      <c r="W286" s="52"/>
      <c r="X286" s="52">
        <f t="shared" si="1103"/>
        <v>0</v>
      </c>
      <c r="Y286" s="52"/>
      <c r="Z286" s="22">
        <f t="shared" si="1040"/>
        <v>0</v>
      </c>
      <c r="AA286" s="52"/>
      <c r="AB286" s="22">
        <f t="shared" si="1041"/>
        <v>0</v>
      </c>
      <c r="AC286" s="22"/>
      <c r="AD286" s="22"/>
      <c r="AE286" s="22">
        <f t="shared" si="1185"/>
        <v>0</v>
      </c>
      <c r="AF286" s="22"/>
      <c r="AG286" s="22">
        <f t="shared" si="1112"/>
        <v>0</v>
      </c>
      <c r="AH286" s="52"/>
      <c r="AI286" s="52"/>
      <c r="AJ286" s="52">
        <f t="shared" si="1042"/>
        <v>0</v>
      </c>
      <c r="AK286" s="52"/>
      <c r="AL286" s="22">
        <f t="shared" si="1043"/>
        <v>0</v>
      </c>
      <c r="AM286" s="52"/>
      <c r="AN286" s="22">
        <f t="shared" si="1044"/>
        <v>0</v>
      </c>
      <c r="AO286" s="22">
        <f t="shared" si="1104"/>
        <v>0</v>
      </c>
      <c r="AP286" s="22">
        <f t="shared" si="1045"/>
        <v>0</v>
      </c>
      <c r="AQ286" s="22"/>
      <c r="AR286" s="22"/>
      <c r="AS286" s="22">
        <f t="shared" si="1186"/>
        <v>0</v>
      </c>
      <c r="AT286" s="22"/>
      <c r="AU286" s="22">
        <f t="shared" si="1113"/>
        <v>0</v>
      </c>
      <c r="AV286" s="77"/>
      <c r="AW286" s="77">
        <f t="shared" si="1139"/>
        <v>0</v>
      </c>
      <c r="AX286" s="78"/>
      <c r="AY286" s="22">
        <f t="shared" si="1114"/>
        <v>0</v>
      </c>
      <c r="AZ286" s="22"/>
      <c r="BA286" s="22"/>
      <c r="BB286" s="22"/>
      <c r="BC286" s="22"/>
      <c r="BD286" s="22"/>
      <c r="BE286" s="22">
        <f t="shared" si="1115"/>
        <v>0</v>
      </c>
      <c r="BF286" s="22"/>
      <c r="BG286" s="22"/>
      <c r="BH286" s="22">
        <f t="shared" si="1116"/>
        <v>0</v>
      </c>
      <c r="BI286" s="22"/>
      <c r="BJ286" s="40"/>
      <c r="BK286" s="19">
        <f t="shared" si="1140"/>
        <v>0</v>
      </c>
      <c r="BL286" s="19">
        <f t="shared" si="1141"/>
        <v>0</v>
      </c>
      <c r="BM286" s="19">
        <f t="shared" si="1142"/>
        <v>0</v>
      </c>
      <c r="BN286" s="19">
        <f t="shared" si="1143"/>
        <v>0</v>
      </c>
      <c r="BO286" s="19">
        <f t="shared" si="1144"/>
        <v>0</v>
      </c>
      <c r="BP286" s="19">
        <f t="shared" si="1145"/>
        <v>0</v>
      </c>
      <c r="BQ286" s="19">
        <f t="shared" si="1187"/>
        <v>0</v>
      </c>
      <c r="BR286" s="19">
        <f t="shared" si="1146"/>
        <v>0</v>
      </c>
      <c r="BS286" s="19">
        <f t="shared" si="1147"/>
        <v>0</v>
      </c>
      <c r="BT286" s="19">
        <f t="shared" si="1148"/>
        <v>0</v>
      </c>
      <c r="BU286" s="19">
        <f t="shared" si="1188"/>
        <v>0</v>
      </c>
      <c r="BV286" s="19">
        <f t="shared" si="1149"/>
        <v>0</v>
      </c>
      <c r="BW286" s="19">
        <f t="shared" si="1150"/>
        <v>0</v>
      </c>
      <c r="BX286" s="19">
        <f t="shared" si="1151"/>
        <v>0</v>
      </c>
      <c r="BY286" s="19">
        <f t="shared" si="1152"/>
        <v>0</v>
      </c>
      <c r="BZ286" s="19">
        <f t="shared" si="1153"/>
        <v>0</v>
      </c>
      <c r="CA286" s="19">
        <f t="shared" si="1154"/>
        <v>0</v>
      </c>
      <c r="CB286" s="19">
        <f t="shared" si="1155"/>
        <v>0</v>
      </c>
      <c r="CC286" s="19">
        <f t="shared" si="1156"/>
        <v>0</v>
      </c>
      <c r="CD286" s="19">
        <f t="shared" si="1088"/>
        <v>0</v>
      </c>
      <c r="CE286" s="48">
        <f t="shared" si="1157"/>
        <v>0</v>
      </c>
      <c r="CF286" s="48">
        <f t="shared" si="1158"/>
        <v>0</v>
      </c>
      <c r="CG286" s="48">
        <f t="shared" si="1159"/>
        <v>0</v>
      </c>
      <c r="CH286" s="48">
        <f t="shared" si="1160"/>
        <v>0</v>
      </c>
      <c r="CI286" s="48">
        <f t="shared" si="1161"/>
        <v>0</v>
      </c>
      <c r="CJ286" s="48">
        <f t="shared" si="1162"/>
        <v>0</v>
      </c>
      <c r="CK286" s="48">
        <f t="shared" si="1163"/>
        <v>0</v>
      </c>
      <c r="CL286" s="48">
        <f t="shared" si="1164"/>
        <v>0</v>
      </c>
      <c r="CM286" s="48">
        <f t="shared" si="1165"/>
        <v>0</v>
      </c>
      <c r="CN286" s="48">
        <f t="shared" si="1106"/>
        <v>0</v>
      </c>
      <c r="CO286" s="48">
        <f t="shared" si="1166"/>
        <v>0</v>
      </c>
      <c r="CP286" s="48">
        <f t="shared" si="1167"/>
        <v>0</v>
      </c>
      <c r="CQ286" s="48">
        <f t="shared" si="1168"/>
        <v>0</v>
      </c>
      <c r="CR286" s="48">
        <f t="shared" si="1169"/>
        <v>0</v>
      </c>
      <c r="CS286" s="48">
        <f t="shared" si="1170"/>
        <v>0</v>
      </c>
      <c r="CT286" s="48">
        <f t="shared" si="1171"/>
        <v>0</v>
      </c>
      <c r="CU286" s="48">
        <f t="shared" si="1107"/>
        <v>0</v>
      </c>
      <c r="CV286" s="48">
        <f t="shared" si="1172"/>
        <v>0</v>
      </c>
      <c r="CW286" s="19">
        <f t="shared" si="1173"/>
        <v>0</v>
      </c>
      <c r="CX286" s="19">
        <f t="shared" si="1174"/>
        <v>0</v>
      </c>
      <c r="CY286" s="19">
        <f t="shared" si="1175"/>
        <v>0</v>
      </c>
      <c r="CZ286" s="19">
        <f t="shared" si="1176"/>
        <v>0</v>
      </c>
      <c r="DA286" s="21">
        <f t="shared" si="1093"/>
        <v>0</v>
      </c>
      <c r="DB286" s="21">
        <f t="shared" si="1094"/>
        <v>0</v>
      </c>
      <c r="DC286" s="79">
        <f t="shared" si="1177"/>
        <v>0</v>
      </c>
      <c r="DD286" s="79">
        <f t="shared" si="1177"/>
        <v>0</v>
      </c>
      <c r="DE286" s="79">
        <f t="shared" si="1178"/>
        <v>0</v>
      </c>
      <c r="DF286" s="79">
        <f t="shared" si="1178"/>
        <v>0</v>
      </c>
      <c r="DG286" s="79">
        <f t="shared" si="1096"/>
        <v>0</v>
      </c>
      <c r="DH286" s="51">
        <f t="shared" si="1097"/>
        <v>0</v>
      </c>
      <c r="DI286" s="39"/>
      <c r="DJ286" s="80">
        <f t="shared" si="1179"/>
        <v>0</v>
      </c>
      <c r="DK286" s="39">
        <f t="shared" si="1180"/>
        <v>0</v>
      </c>
      <c r="DL286" s="39">
        <f t="shared" si="1181"/>
        <v>0</v>
      </c>
      <c r="DM286" s="48">
        <f>+AT286-'[2]тарифы (12-13) население 15%'!AP350</f>
        <v>0</v>
      </c>
      <c r="DN286" s="39"/>
      <c r="DO286" s="39"/>
      <c r="DP286" s="39"/>
      <c r="DQ286" s="39"/>
      <c r="DR286" s="39"/>
      <c r="DS286" s="39"/>
      <c r="DT286" s="39"/>
      <c r="DU286" s="19">
        <f t="shared" si="1117"/>
        <v>0</v>
      </c>
      <c r="DV286" s="40">
        <f t="shared" si="1118"/>
        <v>0</v>
      </c>
      <c r="DW286" s="40">
        <f t="shared" si="1119"/>
        <v>0</v>
      </c>
      <c r="DX286" s="46"/>
      <c r="DY286" s="21">
        <f t="shared" si="1120"/>
        <v>0</v>
      </c>
      <c r="DZ286" s="19">
        <f t="shared" si="1121"/>
        <v>0</v>
      </c>
      <c r="EA286" s="19">
        <f t="shared" si="1122"/>
        <v>0</v>
      </c>
      <c r="EB286" s="19"/>
      <c r="EC286" s="48">
        <f t="shared" si="1123"/>
        <v>0</v>
      </c>
      <c r="ED286" s="48">
        <f t="shared" si="1124"/>
        <v>0</v>
      </c>
      <c r="EE286" s="22"/>
      <c r="EF286" s="22"/>
      <c r="EG286" s="22">
        <f t="shared" si="1125"/>
        <v>0</v>
      </c>
      <c r="EH286" s="22"/>
      <c r="EI286" s="22"/>
      <c r="EJ286" s="22">
        <f t="shared" si="1126"/>
        <v>0</v>
      </c>
      <c r="EK286" s="40"/>
      <c r="EL286" s="19"/>
      <c r="EM286" s="19"/>
      <c r="EN286" s="40">
        <f t="shared" si="1127"/>
        <v>0</v>
      </c>
      <c r="EO286" s="40">
        <f t="shared" si="1100"/>
        <v>0</v>
      </c>
      <c r="EP286" s="40"/>
      <c r="EQ286" s="21">
        <f t="shared" si="1098"/>
        <v>0</v>
      </c>
      <c r="ER286" s="21"/>
      <c r="ES286" s="21">
        <f t="shared" si="1128"/>
        <v>0</v>
      </c>
      <c r="ET286" s="21"/>
      <c r="EU286" s="19">
        <f t="shared" si="1102"/>
        <v>0</v>
      </c>
      <c r="EV286" s="21"/>
      <c r="EW286" s="39"/>
      <c r="EX286" s="39">
        <f t="shared" si="1099"/>
        <v>0</v>
      </c>
      <c r="EY286" s="39">
        <f t="shared" si="1079"/>
        <v>0</v>
      </c>
      <c r="EZ286" s="39"/>
      <c r="FA286" s="39"/>
      <c r="FB286" s="39"/>
      <c r="FC286" s="39"/>
      <c r="FD286" s="39"/>
      <c r="FE286" s="39"/>
      <c r="FF286" s="39"/>
      <c r="FG286" s="39"/>
      <c r="FH286" s="39"/>
      <c r="FI286" s="39"/>
      <c r="FJ286" s="19">
        <f t="shared" si="1129"/>
        <v>0</v>
      </c>
      <c r="FK286" s="19">
        <f t="shared" si="1130"/>
        <v>0</v>
      </c>
      <c r="FL286" s="19">
        <f t="shared" si="1101"/>
        <v>0</v>
      </c>
      <c r="FM286" s="19"/>
      <c r="FN286" s="19"/>
      <c r="FO286" s="22"/>
      <c r="FP286" s="22"/>
      <c r="FQ286" s="22"/>
      <c r="FR286" s="22"/>
      <c r="FS286" s="22"/>
      <c r="FT286" s="22"/>
      <c r="FU286" s="40"/>
      <c r="FV286" s="19"/>
      <c r="FW286" s="19"/>
      <c r="FX286" s="19"/>
      <c r="FY286" s="19"/>
      <c r="FZ286" s="19"/>
      <c r="GA286" s="19"/>
      <c r="GB286" s="19"/>
      <c r="GC286" s="20"/>
      <c r="GD286" s="20"/>
      <c r="GE286" s="21"/>
      <c r="GF286" s="21"/>
      <c r="GG286" s="21"/>
      <c r="GH286" s="21"/>
      <c r="GI286" s="21"/>
      <c r="GJ286" s="21"/>
      <c r="GK286" s="21"/>
      <c r="GL286" s="21"/>
      <c r="GM286" s="19"/>
      <c r="GN286" s="19"/>
      <c r="GO286" s="22"/>
      <c r="GP286" s="22"/>
      <c r="GQ286" s="22"/>
      <c r="GR286" s="22"/>
      <c r="GS286" s="22"/>
      <c r="GT286" s="22"/>
      <c r="GU286" s="43"/>
      <c r="GV286" s="19"/>
      <c r="GW286" s="19"/>
      <c r="GX286" s="19"/>
      <c r="GY286" s="19"/>
      <c r="GZ286" s="23"/>
      <c r="HA286" s="22"/>
      <c r="HB286" s="22"/>
      <c r="HC286" s="22"/>
      <c r="HD286" s="22"/>
      <c r="HE286" s="22"/>
      <c r="HF286" s="22"/>
      <c r="HG286" s="233"/>
    </row>
    <row r="287" spans="2:215" ht="15.75">
      <c r="B287" s="10"/>
      <c r="C287" s="161" t="s">
        <v>204</v>
      </c>
      <c r="D287" s="73">
        <f>+'[2]2012(объемы годовые)'!I302</f>
        <v>18133.72</v>
      </c>
      <c r="E287" s="73">
        <f>+'[2]2012(объемы годовые)'!M302</f>
        <v>16598.38</v>
      </c>
      <c r="F287" s="74">
        <f>+E287*$F$3</f>
        <v>9172.2647880000004</v>
      </c>
      <c r="G287" s="74">
        <f>+E287*$G$3</f>
        <v>2474.8184580000002</v>
      </c>
      <c r="H287" s="74">
        <f>+E287*$H$3</f>
        <v>4951.2967540000009</v>
      </c>
      <c r="I287" s="73">
        <f>+'[2]2012(объемы годовые)'!Q302+'[2]2012(объемы годовые)'!U302+'[2]2012(объемы годовые)'!Y302</f>
        <v>1535.3400000000001</v>
      </c>
      <c r="J287" s="74">
        <f>+I287*$J$3</f>
        <v>848.42888400000004</v>
      </c>
      <c r="K287" s="74">
        <f>+I287*$K$3</f>
        <v>228.91919400000003</v>
      </c>
      <c r="L287" s="74">
        <f>+I287*$L$3</f>
        <v>457.99192200000005</v>
      </c>
      <c r="M287" s="73">
        <f t="shared" si="1182"/>
        <v>18133.72</v>
      </c>
      <c r="N287" s="75">
        <f>+O287+P287+Q287</f>
        <v>16598.38</v>
      </c>
      <c r="O287" s="74">
        <v>9597.18</v>
      </c>
      <c r="P287" s="74">
        <v>139.43</v>
      </c>
      <c r="Q287" s="74">
        <v>6861.77</v>
      </c>
      <c r="R287" s="75">
        <f>+S287+T287+U287</f>
        <v>1535.3399999999995</v>
      </c>
      <c r="S287" s="74">
        <v>903.25</v>
      </c>
      <c r="T287" s="74">
        <v>12.780000000000001</v>
      </c>
      <c r="U287" s="74">
        <v>619.30999999999949</v>
      </c>
      <c r="V287" s="52">
        <v>1022.38</v>
      </c>
      <c r="W287" s="52">
        <v>1022.38</v>
      </c>
      <c r="X287" s="52">
        <f t="shared" si="1103"/>
        <v>100</v>
      </c>
      <c r="Y287" s="52">
        <v>1082.7</v>
      </c>
      <c r="Z287" s="22">
        <f t="shared" si="1040"/>
        <v>105.89995891938419</v>
      </c>
      <c r="AA287" s="52">
        <v>1134.67</v>
      </c>
      <c r="AB287" s="22">
        <f t="shared" si="1041"/>
        <v>104.80003694467534</v>
      </c>
      <c r="AC287" s="52">
        <v>1134.67</v>
      </c>
      <c r="AD287" s="52">
        <v>1134.67</v>
      </c>
      <c r="AE287" s="22">
        <f t="shared" si="1185"/>
        <v>108.18123331012541</v>
      </c>
      <c r="AF287" s="22">
        <v>1227.5</v>
      </c>
      <c r="AG287" s="22">
        <f t="shared" si="1112"/>
        <v>108.18123331012541</v>
      </c>
      <c r="AH287" s="22">
        <v>1206.4100000000001</v>
      </c>
      <c r="AI287" s="22">
        <v>1206.4100000000001</v>
      </c>
      <c r="AJ287" s="52">
        <f t="shared" si="1042"/>
        <v>100</v>
      </c>
      <c r="AK287" s="22">
        <v>1277.5899999999999</v>
      </c>
      <c r="AL287" s="22">
        <f t="shared" si="1043"/>
        <v>105.90015003191284</v>
      </c>
      <c r="AM287" s="22">
        <v>1338.91</v>
      </c>
      <c r="AN287" s="22">
        <f t="shared" si="1044"/>
        <v>104.7996618633521</v>
      </c>
      <c r="AO287" s="22">
        <f t="shared" si="1104"/>
        <v>110.98319607191065</v>
      </c>
      <c r="AP287" s="22">
        <f t="shared" si="1045"/>
        <v>110.98299914622724</v>
      </c>
      <c r="AQ287" s="22">
        <v>1338.91</v>
      </c>
      <c r="AR287" s="22">
        <v>1338.91</v>
      </c>
      <c r="AS287" s="22">
        <f t="shared" si="1186"/>
        <v>108.18128178891784</v>
      </c>
      <c r="AT287" s="22">
        <v>1448.45</v>
      </c>
      <c r="AU287" s="22">
        <f t="shared" si="1113"/>
        <v>108.18128178891784</v>
      </c>
      <c r="AV287" s="77"/>
      <c r="AW287" s="77">
        <f t="shared" si="1139"/>
        <v>60.879104898611224</v>
      </c>
      <c r="AX287" s="78" t="s">
        <v>423</v>
      </c>
      <c r="AY287" s="22">
        <f t="shared" si="1114"/>
        <v>18.133724100000002</v>
      </c>
      <c r="AZ287" s="22">
        <f>+[8]БПр!$BX$746/1000</f>
        <v>16.598376100000003</v>
      </c>
      <c r="BA287" s="22">
        <f>+[8]БПр!$BW$746/1000</f>
        <v>1.0684041</v>
      </c>
      <c r="BB287" s="22">
        <f>+[8]БПр!$BY$746/1000</f>
        <v>0.46694389999999997</v>
      </c>
      <c r="BC287" s="22">
        <v>1227.5</v>
      </c>
      <c r="BD287" s="22">
        <v>1279.05</v>
      </c>
      <c r="BE287" s="22">
        <f t="shared" si="1115"/>
        <v>104.19959266802444</v>
      </c>
      <c r="BF287" s="22">
        <v>1448.45</v>
      </c>
      <c r="BG287" s="22">
        <v>1509.28</v>
      </c>
      <c r="BH287" s="22">
        <f t="shared" si="1116"/>
        <v>104.19966170734232</v>
      </c>
      <c r="BI287" s="22">
        <f>+BD287-BG287/1.18</f>
        <v>-8.4745762728744012E-4</v>
      </c>
      <c r="BJ287" s="40" t="s">
        <v>424</v>
      </c>
      <c r="BK287" s="19">
        <f t="shared" si="1140"/>
        <v>18539.575159877972</v>
      </c>
      <c r="BL287" s="19">
        <f t="shared" si="1141"/>
        <v>16969.874250677971</v>
      </c>
      <c r="BM287" s="19">
        <f t="shared" si="1142"/>
        <v>0</v>
      </c>
      <c r="BN287" s="19">
        <f t="shared" si="1143"/>
        <v>1569.7009092000001</v>
      </c>
      <c r="BO287" s="19">
        <f t="shared" si="1144"/>
        <v>19633.434909694915</v>
      </c>
      <c r="BP287" s="19">
        <f t="shared" si="1145"/>
        <v>17971.122291694915</v>
      </c>
      <c r="BQ287" s="19">
        <f t="shared" si="1187"/>
        <v>0</v>
      </c>
      <c r="BR287" s="19">
        <f t="shared" si="1146"/>
        <v>1662.3126180000002</v>
      </c>
      <c r="BS287" s="19">
        <f t="shared" si="1147"/>
        <v>20575.779632545768</v>
      </c>
      <c r="BT287" s="19">
        <f t="shared" si="1148"/>
        <v>18833.675394745766</v>
      </c>
      <c r="BU287" s="19">
        <f t="shared" si="1188"/>
        <v>0</v>
      </c>
      <c r="BV287" s="19">
        <f t="shared" si="1149"/>
        <v>1742.1042378000002</v>
      </c>
      <c r="BW287" s="19">
        <f t="shared" si="1150"/>
        <v>20575.779632545764</v>
      </c>
      <c r="BX287" s="19">
        <f t="shared" si="1151"/>
        <v>18833.675394745766</v>
      </c>
      <c r="BY287" s="19">
        <f t="shared" si="1152"/>
        <v>0</v>
      </c>
      <c r="BZ287" s="19">
        <f t="shared" si="1153"/>
        <v>1742.1042377999995</v>
      </c>
      <c r="CA287" s="19">
        <f t="shared" si="1154"/>
        <v>22259.141300000003</v>
      </c>
      <c r="CB287" s="19">
        <f t="shared" si="1155"/>
        <v>20374.511450000002</v>
      </c>
      <c r="CC287" s="19">
        <f t="shared" si="1156"/>
        <v>0</v>
      </c>
      <c r="CD287" s="19">
        <f t="shared" si="1088"/>
        <v>1884.6298499999994</v>
      </c>
      <c r="CE287" s="48">
        <f t="shared" si="1157"/>
        <v>1022.3800000000006</v>
      </c>
      <c r="CF287" s="48">
        <f t="shared" si="1158"/>
        <v>1082.7</v>
      </c>
      <c r="CG287" s="48">
        <f t="shared" si="1159"/>
        <v>1134.67</v>
      </c>
      <c r="CH287" s="48">
        <f t="shared" si="1160"/>
        <v>1206.4100000000003</v>
      </c>
      <c r="CI287" s="48">
        <f t="shared" si="1161"/>
        <v>1277.5899999999999</v>
      </c>
      <c r="CJ287" s="48">
        <f t="shared" si="1162"/>
        <v>1338.91</v>
      </c>
      <c r="CK287" s="48">
        <f t="shared" si="1163"/>
        <v>1022.38124112857</v>
      </c>
      <c r="CL287" s="48">
        <f t="shared" si="1164"/>
        <v>1082.703102821424</v>
      </c>
      <c r="CM287" s="48">
        <f t="shared" si="1165"/>
        <v>1134.6695345767866</v>
      </c>
      <c r="CN287" s="48">
        <f t="shared" si="1106"/>
        <v>1079.917959508927</v>
      </c>
      <c r="CO287" s="48">
        <f t="shared" si="1166"/>
        <v>1134.67</v>
      </c>
      <c r="CP287" s="48">
        <f t="shared" si="1167"/>
        <v>1227.5</v>
      </c>
      <c r="CQ287" s="48">
        <f t="shared" si="1168"/>
        <v>1338.91</v>
      </c>
      <c r="CR287" s="48">
        <f t="shared" si="1169"/>
        <v>1448.45</v>
      </c>
      <c r="CS287" s="48">
        <f t="shared" si="1170"/>
        <v>1134.6695345767864</v>
      </c>
      <c r="CT287" s="48">
        <f t="shared" si="1171"/>
        <v>1227.5</v>
      </c>
      <c r="CU287" s="48">
        <f t="shared" si="1107"/>
        <v>1181.0847672883931</v>
      </c>
      <c r="CV287" s="48">
        <f t="shared" si="1172"/>
        <v>109.36800864257039</v>
      </c>
      <c r="CW287" s="19">
        <f t="shared" si="1173"/>
        <v>17675.132214869023</v>
      </c>
      <c r="CX287" s="19">
        <f t="shared" si="1174"/>
        <v>17675.11390629322</v>
      </c>
      <c r="CY287" s="19">
        <f t="shared" si="1175"/>
        <v>19470.656992881359</v>
      </c>
      <c r="CZ287" s="19">
        <f t="shared" si="1176"/>
        <v>19470.661943700004</v>
      </c>
      <c r="DA287" s="21">
        <f t="shared" si="1093"/>
        <v>100.00010358391975</v>
      </c>
      <c r="DB287" s="21">
        <f t="shared" si="1094"/>
        <v>99.999974572931009</v>
      </c>
      <c r="DC287" s="79">
        <f t="shared" si="1177"/>
        <v>110.15848003955449</v>
      </c>
      <c r="DD287" s="79">
        <f t="shared" si="1177"/>
        <v>110.1586221561349</v>
      </c>
      <c r="DE287" s="79">
        <f t="shared" si="1178"/>
        <v>11914.522908100002</v>
      </c>
      <c r="DF287" s="79">
        <f t="shared" si="1178"/>
        <v>172.70812070000002</v>
      </c>
      <c r="DG287" s="79">
        <f t="shared" si="1096"/>
        <v>9183.0257000000001</v>
      </c>
      <c r="DH287" s="51">
        <f t="shared" si="1097"/>
        <v>21270.256728799999</v>
      </c>
      <c r="DI287" s="39"/>
      <c r="DJ287" s="80">
        <f t="shared" si="1179"/>
        <v>10244.956796379362</v>
      </c>
      <c r="DK287" s="39">
        <f t="shared" si="1180"/>
        <v>2927.3367558204004</v>
      </c>
      <c r="DL287" s="39">
        <f t="shared" si="1181"/>
        <v>6137.7575819969215</v>
      </c>
      <c r="DM287" s="48">
        <f>+AT287-'[2]тарифы (12-13) население 15%'!AP351</f>
        <v>0</v>
      </c>
      <c r="DN287" s="39"/>
      <c r="DO287" s="39"/>
      <c r="DP287" s="39"/>
      <c r="DQ287" s="39"/>
      <c r="DR287" s="39"/>
      <c r="DS287" s="39"/>
      <c r="DT287" s="39"/>
      <c r="DU287" s="19">
        <f t="shared" si="1117"/>
        <v>20374.506662750005</v>
      </c>
      <c r="DV287" s="40">
        <f t="shared" si="1118"/>
        <v>21230.16701712543</v>
      </c>
      <c r="DW287" s="40">
        <f t="shared" si="1119"/>
        <v>21230.152950705004</v>
      </c>
      <c r="DX287" s="21">
        <f>+'[1]тарифы (НВВ) население на 4,2%'!CO365</f>
        <v>99.999974572931009</v>
      </c>
      <c r="DY287" s="21">
        <f t="shared" si="1120"/>
        <v>100.00006625680211</v>
      </c>
      <c r="DZ287" s="19">
        <f t="shared" si="1121"/>
        <v>22.259146332750003</v>
      </c>
      <c r="EA287" s="19">
        <f t="shared" si="1122"/>
        <v>23.193939810105004</v>
      </c>
      <c r="EB287" s="19"/>
      <c r="EC287" s="48">
        <f t="shared" si="1123"/>
        <v>0</v>
      </c>
      <c r="ED287" s="48"/>
      <c r="EE287" s="22">
        <v>1279.05</v>
      </c>
      <c r="EF287" s="22">
        <v>1368.58</v>
      </c>
      <c r="EG287" s="22">
        <f t="shared" si="1125"/>
        <v>106.99972635940738</v>
      </c>
      <c r="EH287" s="22">
        <v>1509.28</v>
      </c>
      <c r="EI287" s="22">
        <v>1614.92</v>
      </c>
      <c r="EJ287" s="22">
        <f t="shared" si="1126"/>
        <v>106.99936393512139</v>
      </c>
      <c r="EK287" s="40" t="s">
        <v>425</v>
      </c>
      <c r="EL287" s="19">
        <v>18.133724100000002</v>
      </c>
      <c r="EM287" s="19">
        <v>16.598376100000003</v>
      </c>
      <c r="EN287" s="40">
        <f t="shared" si="1127"/>
        <v>22716.14367068814</v>
      </c>
      <c r="EO287" s="40">
        <f t="shared" si="1100"/>
        <v>22716.205562938001</v>
      </c>
      <c r="EP287" s="40"/>
      <c r="EQ287" s="21">
        <f t="shared" si="1098"/>
        <v>99.999727541425472</v>
      </c>
      <c r="ER287" s="21"/>
      <c r="ES287" s="21">
        <f t="shared" si="1128"/>
        <v>23193.939810105003</v>
      </c>
      <c r="ET287" s="21"/>
      <c r="EU287" s="19">
        <f t="shared" si="1102"/>
        <v>24817.452128778001</v>
      </c>
      <c r="EV287" s="21"/>
      <c r="EW287" s="39"/>
      <c r="EX287" s="39">
        <f t="shared" ref="EX287:FD287" si="1189">+DY287*1.18</f>
        <v>118.00007818302649</v>
      </c>
      <c r="EY287" s="39">
        <f t="shared" si="1189"/>
        <v>26.265792672645002</v>
      </c>
      <c r="EZ287" s="39">
        <f t="shared" si="1189"/>
        <v>27.368848975923903</v>
      </c>
      <c r="FA287" s="39">
        <f t="shared" si="1189"/>
        <v>0</v>
      </c>
      <c r="FB287" s="39">
        <f t="shared" si="1189"/>
        <v>0</v>
      </c>
      <c r="FC287" s="39">
        <f t="shared" si="1189"/>
        <v>0</v>
      </c>
      <c r="FD287" s="39">
        <f t="shared" si="1189"/>
        <v>1509.2789999999998</v>
      </c>
      <c r="FE287" s="39"/>
      <c r="FF287" s="39"/>
      <c r="FG287" s="39"/>
      <c r="FH287" s="39"/>
      <c r="FI287" s="39"/>
      <c r="FJ287" s="19"/>
      <c r="FK287" s="19"/>
      <c r="FL287" s="19">
        <f t="shared" si="1101"/>
        <v>0</v>
      </c>
      <c r="FM287" s="19">
        <v>14.391</v>
      </c>
      <c r="FN287" s="19">
        <v>13.09581</v>
      </c>
      <c r="FO287" s="22">
        <v>1583.81</v>
      </c>
      <c r="FP287" s="22">
        <v>1617.84</v>
      </c>
      <c r="FQ287" s="22"/>
      <c r="FR287" s="22">
        <v>1900.57</v>
      </c>
      <c r="FS287" s="22">
        <v>1941.41</v>
      </c>
      <c r="FT287" s="22"/>
      <c r="FU287" s="40" t="s">
        <v>691</v>
      </c>
      <c r="FV287" s="19"/>
      <c r="FW287" s="19"/>
      <c r="FX287" s="19"/>
      <c r="FY287" s="19"/>
      <c r="FZ287" s="19"/>
      <c r="GA287" s="19"/>
      <c r="GB287" s="19"/>
      <c r="GC287" s="20"/>
      <c r="GD287" s="20"/>
      <c r="GE287" s="21"/>
      <c r="GF287" s="21"/>
      <c r="GG287" s="21"/>
      <c r="GH287" s="21"/>
      <c r="GI287" s="21"/>
      <c r="GJ287" s="21"/>
      <c r="GK287" s="21"/>
      <c r="GL287" s="21"/>
      <c r="GM287" s="19"/>
      <c r="GN287" s="19"/>
      <c r="GO287" s="22">
        <v>1617.84</v>
      </c>
      <c r="GP287" s="22">
        <v>1342.48</v>
      </c>
      <c r="GQ287" s="22"/>
      <c r="GR287" s="22">
        <v>1610.98</v>
      </c>
      <c r="GS287" s="22">
        <v>1610.98</v>
      </c>
      <c r="GT287" s="22"/>
      <c r="GU287" s="40" t="s">
        <v>691</v>
      </c>
      <c r="GV287" s="19"/>
      <c r="GW287" s="19"/>
      <c r="GX287" s="19"/>
      <c r="GY287" s="19"/>
      <c r="GZ287" s="23"/>
      <c r="HA287" s="22">
        <v>1342.48</v>
      </c>
      <c r="HB287" s="22">
        <v>1382.8</v>
      </c>
      <c r="HC287" s="22"/>
      <c r="HD287" s="22">
        <v>1610.98</v>
      </c>
      <c r="HE287" s="22">
        <v>1659.36</v>
      </c>
      <c r="HF287" s="22"/>
      <c r="HG287" s="236" t="s">
        <v>691</v>
      </c>
    </row>
    <row r="288" spans="2:215" ht="15.75">
      <c r="B288" s="10"/>
      <c r="C288" s="184" t="s">
        <v>300</v>
      </c>
      <c r="D288" s="73">
        <f>+'[2]2012(объемы годовые)'!I303</f>
        <v>84950.11</v>
      </c>
      <c r="E288" s="73">
        <f>+'[2]2012(объемы годовые)'!M303</f>
        <v>82534.42</v>
      </c>
      <c r="F288" s="74">
        <f>+E288*$F$3</f>
        <v>45608.520491999996</v>
      </c>
      <c r="G288" s="74">
        <f>+E288*$G$3</f>
        <v>12305.882022</v>
      </c>
      <c r="H288" s="74">
        <f>+E288*$H$3</f>
        <v>24620.017486000001</v>
      </c>
      <c r="I288" s="73">
        <f>+'[2]2012(объемы годовые)'!Q303+'[2]2012(объемы годовые)'!U303+'[2]2012(объемы годовые)'!Y303</f>
        <v>2415.69</v>
      </c>
      <c r="J288" s="74">
        <f>+I288*$J$3</f>
        <v>1334.910294</v>
      </c>
      <c r="K288" s="74">
        <f>+I288*$K$3</f>
        <v>360.17937900000004</v>
      </c>
      <c r="L288" s="74">
        <f>+I288*$L$3</f>
        <v>720.60032699999999</v>
      </c>
      <c r="M288" s="73">
        <f t="shared" si="1182"/>
        <v>84950.11</v>
      </c>
      <c r="N288" s="73">
        <f t="shared" si="1183"/>
        <v>82534.42</v>
      </c>
      <c r="O288" s="74">
        <v>48662.294031999998</v>
      </c>
      <c r="P288" s="74"/>
      <c r="Q288" s="74">
        <v>33872.125968</v>
      </c>
      <c r="R288" s="73">
        <f t="shared" si="1184"/>
        <v>2415.69</v>
      </c>
      <c r="S288" s="74">
        <v>1424.2908240000002</v>
      </c>
      <c r="T288" s="74"/>
      <c r="U288" s="74">
        <v>991.39917600000001</v>
      </c>
      <c r="V288" s="52">
        <v>72.91</v>
      </c>
      <c r="W288" s="52">
        <v>72.91</v>
      </c>
      <c r="X288" s="52">
        <f t="shared" si="1103"/>
        <v>100</v>
      </c>
      <c r="Y288" s="52">
        <v>77.209999999999994</v>
      </c>
      <c r="Z288" s="22">
        <f t="shared" si="1040"/>
        <v>105.8976820737896</v>
      </c>
      <c r="AA288" s="52">
        <v>81.010000000000005</v>
      </c>
      <c r="AB288" s="22">
        <f t="shared" si="1041"/>
        <v>104.92164227431682</v>
      </c>
      <c r="AC288" s="52">
        <v>81.010000000000005</v>
      </c>
      <c r="AD288" s="52">
        <v>81.010000000000005</v>
      </c>
      <c r="AE288" s="22">
        <f t="shared" si="1185"/>
        <v>108.60387606468338</v>
      </c>
      <c r="AF288" s="22">
        <v>87.98</v>
      </c>
      <c r="AG288" s="22">
        <f t="shared" si="1112"/>
        <v>108.60387606468338</v>
      </c>
      <c r="AH288" s="22">
        <v>86.03</v>
      </c>
      <c r="AI288" s="22">
        <v>86.03</v>
      </c>
      <c r="AJ288" s="52">
        <f t="shared" si="1042"/>
        <v>100</v>
      </c>
      <c r="AK288" s="22">
        <v>91.11</v>
      </c>
      <c r="AL288" s="22">
        <f t="shared" si="1043"/>
        <v>105.90491688945716</v>
      </c>
      <c r="AM288" s="22">
        <v>95.59</v>
      </c>
      <c r="AN288" s="22">
        <f t="shared" si="1044"/>
        <v>104.91713313576996</v>
      </c>
      <c r="AO288" s="22">
        <f t="shared" si="1104"/>
        <v>111.10958716225485</v>
      </c>
      <c r="AP288" s="22">
        <f t="shared" si="1045"/>
        <v>111.11240265023829</v>
      </c>
      <c r="AQ288" s="22">
        <v>95.59</v>
      </c>
      <c r="AR288" s="22">
        <v>95.59</v>
      </c>
      <c r="AS288" s="22">
        <f t="shared" si="1186"/>
        <v>108.60968720577463</v>
      </c>
      <c r="AT288" s="22">
        <v>103.82</v>
      </c>
      <c r="AU288" s="22">
        <f t="shared" si="1113"/>
        <v>108.60968720577463</v>
      </c>
      <c r="AV288" s="77"/>
      <c r="AW288" s="77">
        <f t="shared" si="1139"/>
        <v>21.643811963759578</v>
      </c>
      <c r="AX288" s="78" t="s">
        <v>426</v>
      </c>
      <c r="AY288" s="22">
        <f t="shared" si="1114"/>
        <v>0</v>
      </c>
      <c r="AZ288" s="22"/>
      <c r="BA288" s="22"/>
      <c r="BB288" s="22"/>
      <c r="BC288" s="22"/>
      <c r="BD288" s="22"/>
      <c r="BE288" s="22">
        <f t="shared" si="1115"/>
        <v>0</v>
      </c>
      <c r="BF288" s="22">
        <v>103.82</v>
      </c>
      <c r="BG288" s="22">
        <v>108.18</v>
      </c>
      <c r="BH288" s="22">
        <f t="shared" si="1116"/>
        <v>104.19957618955887</v>
      </c>
      <c r="BI288" s="22"/>
      <c r="BJ288" s="40" t="s">
        <v>427</v>
      </c>
      <c r="BK288" s="19">
        <f t="shared" si="1140"/>
        <v>6193.4467312898305</v>
      </c>
      <c r="BL288" s="19">
        <f t="shared" si="1141"/>
        <v>6017.3187733898303</v>
      </c>
      <c r="BM288" s="19">
        <f t="shared" si="1142"/>
        <v>0</v>
      </c>
      <c r="BN288" s="19">
        <f t="shared" si="1143"/>
        <v>176.12795790000001</v>
      </c>
      <c r="BO288" s="19">
        <f t="shared" si="1144"/>
        <v>6559.1518708322037</v>
      </c>
      <c r="BP288" s="19">
        <f t="shared" si="1145"/>
        <v>6372.636445932204</v>
      </c>
      <c r="BQ288" s="19">
        <f t="shared" si="1187"/>
        <v>0</v>
      </c>
      <c r="BR288" s="19">
        <f t="shared" si="1146"/>
        <v>186.51542489999997</v>
      </c>
      <c r="BS288" s="19">
        <f t="shared" si="1147"/>
        <v>6881.6825111372891</v>
      </c>
      <c r="BT288" s="19">
        <f t="shared" si="1148"/>
        <v>6685.9874642372888</v>
      </c>
      <c r="BU288" s="19">
        <f t="shared" si="1188"/>
        <v>0</v>
      </c>
      <c r="BV288" s="19">
        <f t="shared" si="1149"/>
        <v>195.69504690000002</v>
      </c>
      <c r="BW288" s="19">
        <f t="shared" si="1150"/>
        <v>6881.6825111372891</v>
      </c>
      <c r="BX288" s="19">
        <f t="shared" si="1151"/>
        <v>6685.9874642372888</v>
      </c>
      <c r="BY288" s="19">
        <f t="shared" si="1152"/>
        <v>0</v>
      </c>
      <c r="BZ288" s="19">
        <f t="shared" si="1153"/>
        <v>195.69504690000002</v>
      </c>
      <c r="CA288" s="19">
        <f t="shared" si="1154"/>
        <v>7474.1624777254228</v>
      </c>
      <c r="CB288" s="19">
        <f t="shared" si="1155"/>
        <v>7261.6300715254229</v>
      </c>
      <c r="CC288" s="19">
        <f t="shared" si="1156"/>
        <v>0</v>
      </c>
      <c r="CD288" s="19">
        <f t="shared" si="1088"/>
        <v>212.53240620000003</v>
      </c>
      <c r="CE288" s="48">
        <f t="shared" si="1157"/>
        <v>72.91</v>
      </c>
      <c r="CF288" s="48">
        <f t="shared" si="1158"/>
        <v>77.209999999999994</v>
      </c>
      <c r="CG288" s="48">
        <f t="shared" si="1159"/>
        <v>81.010000000000019</v>
      </c>
      <c r="CH288" s="48">
        <f t="shared" si="1160"/>
        <v>86.03</v>
      </c>
      <c r="CI288" s="48">
        <f t="shared" si="1161"/>
        <v>91.110000000000014</v>
      </c>
      <c r="CJ288" s="48">
        <f t="shared" si="1162"/>
        <v>95.59</v>
      </c>
      <c r="CK288" s="48">
        <f t="shared" si="1163"/>
        <v>72.906871236421352</v>
      </c>
      <c r="CL288" s="48">
        <f t="shared" si="1164"/>
        <v>77.211811389440257</v>
      </c>
      <c r="CM288" s="48">
        <f t="shared" si="1165"/>
        <v>81.00851795409433</v>
      </c>
      <c r="CN288" s="48">
        <f t="shared" si="1106"/>
        <v>77.042400193318656</v>
      </c>
      <c r="CO288" s="48">
        <f t="shared" si="1166"/>
        <v>81.010000000000019</v>
      </c>
      <c r="CP288" s="48">
        <f t="shared" si="1167"/>
        <v>87.98</v>
      </c>
      <c r="CQ288" s="48">
        <f t="shared" si="1168"/>
        <v>95.59</v>
      </c>
      <c r="CR288" s="48">
        <f t="shared" si="1169"/>
        <v>103.82</v>
      </c>
      <c r="CS288" s="48">
        <f t="shared" si="1170"/>
        <v>81.00851795409433</v>
      </c>
      <c r="CT288" s="48">
        <f t="shared" si="1171"/>
        <v>87.98296409181134</v>
      </c>
      <c r="CU288" s="48">
        <f t="shared" si="1107"/>
        <v>84.495741022952828</v>
      </c>
      <c r="CV288" s="48">
        <f t="shared" si="1172"/>
        <v>109.67433622386098</v>
      </c>
      <c r="CW288" s="19">
        <f t="shared" si="1173"/>
        <v>6269.7605088456949</v>
      </c>
      <c r="CX288" s="19">
        <f t="shared" si="1174"/>
        <v>6269.9219965311995</v>
      </c>
      <c r="CY288" s="19">
        <f t="shared" si="1175"/>
        <v>6922.2311902683396</v>
      </c>
      <c r="CZ288" s="19">
        <f t="shared" si="1176"/>
        <v>6922.20208219696</v>
      </c>
      <c r="DA288" s="21">
        <f t="shared" si="1093"/>
        <v>99.997424406785385</v>
      </c>
      <c r="DB288" s="21">
        <f t="shared" si="1094"/>
        <v>100.00042050305717</v>
      </c>
      <c r="DC288" s="79">
        <f t="shared" si="1177"/>
        <v>110.40662845896756</v>
      </c>
      <c r="DD288" s="79">
        <f t="shared" si="1177"/>
        <v>110.40332058399819</v>
      </c>
      <c r="DE288" s="79">
        <f t="shared" si="1178"/>
        <v>4057.5142391845602</v>
      </c>
      <c r="DF288" s="79">
        <f t="shared" si="1178"/>
        <v>0</v>
      </c>
      <c r="DG288" s="79">
        <f t="shared" si="1096"/>
        <v>3067.2929421691201</v>
      </c>
      <c r="DH288" s="51">
        <f t="shared" si="1097"/>
        <v>7124.8071813536808</v>
      </c>
      <c r="DI288" s="39"/>
      <c r="DJ288" s="80">
        <f t="shared" si="1179"/>
        <v>3422.6455386072598</v>
      </c>
      <c r="DK288" s="39">
        <f t="shared" si="1180"/>
        <v>977.94660077120977</v>
      </c>
      <c r="DL288" s="39">
        <f t="shared" si="1181"/>
        <v>2052.8434490311301</v>
      </c>
      <c r="DM288" s="48">
        <f>+AT288-'[2]тарифы (12-13) население 15%'!AP352</f>
        <v>0</v>
      </c>
      <c r="DN288" s="39"/>
      <c r="DO288" s="39"/>
      <c r="DP288" s="39"/>
      <c r="DQ288" s="39"/>
      <c r="DR288" s="39"/>
      <c r="DS288" s="39"/>
      <c r="DT288" s="39"/>
      <c r="DU288" s="19">
        <f t="shared" si="1117"/>
        <v>0</v>
      </c>
      <c r="DV288" s="40">
        <f>+'[1]тарифы (НВВ) население на 4,2%'!CL366*1.042</f>
        <v>7212.9649002596097</v>
      </c>
      <c r="DW288" s="40">
        <f>+'[1]тарифы (НВВ) население на 4,2%'!CM366*1.042</f>
        <v>7212.9345696492328</v>
      </c>
      <c r="DX288" s="46"/>
      <c r="DY288" s="21">
        <f t="shared" si="1120"/>
        <v>100.00042050305717</v>
      </c>
      <c r="DZ288" s="19">
        <f t="shared" si="1121"/>
        <v>0</v>
      </c>
      <c r="EA288" s="19">
        <f t="shared" si="1122"/>
        <v>0</v>
      </c>
      <c r="EB288" s="19"/>
      <c r="EC288" s="48">
        <f t="shared" si="1123"/>
        <v>0</v>
      </c>
      <c r="ED288" s="48">
        <f t="shared" si="1124"/>
        <v>0</v>
      </c>
      <c r="EE288" s="22">
        <v>92.52</v>
      </c>
      <c r="EF288" s="22">
        <v>98.86</v>
      </c>
      <c r="EG288" s="22">
        <f t="shared" si="1125"/>
        <v>106.85257241677475</v>
      </c>
      <c r="EH288" s="22">
        <v>108.18</v>
      </c>
      <c r="EI288" s="22">
        <v>116.65</v>
      </c>
      <c r="EJ288" s="22">
        <f t="shared" si="1126"/>
        <v>107.82954335366981</v>
      </c>
      <c r="EK288" s="40" t="s">
        <v>428</v>
      </c>
      <c r="EL288" s="19">
        <v>42.36</v>
      </c>
      <c r="EM288" s="19">
        <v>39.4</v>
      </c>
      <c r="EN288" s="40">
        <f t="shared" si="1127"/>
        <v>3894.9237288135596</v>
      </c>
      <c r="EO288" s="40">
        <f t="shared" si="1100"/>
        <v>3895.0839999999998</v>
      </c>
      <c r="EP288" s="40"/>
      <c r="EQ288" s="21">
        <f t="shared" si="1098"/>
        <v>99.995885295761525</v>
      </c>
      <c r="ER288" s="21"/>
      <c r="ES288" s="21">
        <f t="shared" si="1128"/>
        <v>3919.1471999999999</v>
      </c>
      <c r="ET288" s="21"/>
      <c r="EU288" s="19">
        <f t="shared" si="1102"/>
        <v>4187.7096000000001</v>
      </c>
      <c r="EV288" s="21"/>
      <c r="EW288" s="39"/>
      <c r="EX288" s="39">
        <f t="shared" ref="EX288:EX304" si="1190">+BD288*AY288</f>
        <v>0</v>
      </c>
      <c r="EY288" s="39">
        <f t="shared" ref="EY288:EY320" si="1191">+EF288*AY288</f>
        <v>0</v>
      </c>
      <c r="EZ288" s="39"/>
      <c r="FA288" s="39"/>
      <c r="FB288" s="39"/>
      <c r="FC288" s="39"/>
      <c r="FD288" s="39"/>
      <c r="FE288" s="39"/>
      <c r="FF288" s="39"/>
      <c r="FG288" s="39"/>
      <c r="FH288" s="39"/>
      <c r="FI288" s="39"/>
      <c r="FJ288" s="19">
        <f t="shared" si="1129"/>
        <v>33.176135593219975</v>
      </c>
      <c r="FK288" s="19"/>
      <c r="FL288" s="19">
        <f t="shared" si="1101"/>
        <v>33.176135593219975</v>
      </c>
      <c r="FM288" s="19">
        <v>52.158999999999999</v>
      </c>
      <c r="FN288" s="19">
        <v>49.039000000000001</v>
      </c>
      <c r="FO288" s="22">
        <v>125.74</v>
      </c>
      <c r="FP288" s="22">
        <v>129.13</v>
      </c>
      <c r="FQ288" s="22"/>
      <c r="FR288" s="22">
        <v>150.88999999999999</v>
      </c>
      <c r="FS288" s="22">
        <v>154.96</v>
      </c>
      <c r="FT288" s="22"/>
      <c r="FU288" s="40" t="s">
        <v>692</v>
      </c>
      <c r="FV288" s="19"/>
      <c r="FW288" s="19"/>
      <c r="FX288" s="19"/>
      <c r="FY288" s="19"/>
      <c r="FZ288" s="19"/>
      <c r="GA288" s="19"/>
      <c r="GB288" s="19"/>
      <c r="GC288" s="20"/>
      <c r="GD288" s="20"/>
      <c r="GE288" s="21"/>
      <c r="GF288" s="21"/>
      <c r="GG288" s="21"/>
      <c r="GH288" s="21"/>
      <c r="GI288" s="21"/>
      <c r="GJ288" s="21"/>
      <c r="GK288" s="21"/>
      <c r="GL288" s="21"/>
      <c r="GM288" s="19"/>
      <c r="GN288" s="19"/>
      <c r="GO288" s="22">
        <v>113.03</v>
      </c>
      <c r="GP288" s="22">
        <v>114.34</v>
      </c>
      <c r="GQ288" s="22"/>
      <c r="GR288" s="22">
        <v>135.63999999999999</v>
      </c>
      <c r="GS288" s="22">
        <v>137.21</v>
      </c>
      <c r="GT288" s="22"/>
      <c r="GU288" s="40" t="s">
        <v>692</v>
      </c>
      <c r="GV288" s="19"/>
      <c r="GW288" s="19"/>
      <c r="GX288" s="19"/>
      <c r="GY288" s="19"/>
      <c r="GZ288" s="23"/>
      <c r="HA288" s="22">
        <v>114.34</v>
      </c>
      <c r="HB288" s="22">
        <v>118.12</v>
      </c>
      <c r="HC288" s="22"/>
      <c r="HD288" s="22">
        <v>137.21</v>
      </c>
      <c r="HE288" s="22">
        <v>141.74</v>
      </c>
      <c r="HF288" s="22"/>
      <c r="HG288" s="236" t="s">
        <v>692</v>
      </c>
    </row>
    <row r="289" spans="2:215" ht="15.75">
      <c r="B289" s="10" t="s">
        <v>429</v>
      </c>
      <c r="C289" s="81" t="s">
        <v>430</v>
      </c>
      <c r="D289" s="46"/>
      <c r="E289" s="46"/>
      <c r="F289" s="46"/>
      <c r="G289" s="46"/>
      <c r="H289" s="46"/>
      <c r="I289" s="46"/>
      <c r="J289" s="46"/>
      <c r="K289" s="46"/>
      <c r="L289" s="46"/>
      <c r="M289" s="73">
        <f t="shared" si="1182"/>
        <v>0</v>
      </c>
      <c r="N289" s="73">
        <f t="shared" si="1183"/>
        <v>0</v>
      </c>
      <c r="O289" s="46"/>
      <c r="P289" s="46"/>
      <c r="Q289" s="46"/>
      <c r="R289" s="73">
        <f t="shared" si="1184"/>
        <v>0</v>
      </c>
      <c r="S289" s="46"/>
      <c r="T289" s="46"/>
      <c r="U289" s="46"/>
      <c r="V289" s="52"/>
      <c r="W289" s="52"/>
      <c r="X289" s="52">
        <f t="shared" si="1103"/>
        <v>0</v>
      </c>
      <c r="Y289" s="52"/>
      <c r="Z289" s="22">
        <f t="shared" ref="Z289:Z334" si="1192">+IF(W289=0,,Y289/W289*100)</f>
        <v>0</v>
      </c>
      <c r="AA289" s="52"/>
      <c r="AB289" s="22">
        <f t="shared" ref="AB289:AB334" si="1193">+IF(Y289=0,,AA289/Y289*100)</f>
        <v>0</v>
      </c>
      <c r="AC289" s="22"/>
      <c r="AD289" s="22"/>
      <c r="AE289" s="22">
        <f t="shared" si="1185"/>
        <v>0</v>
      </c>
      <c r="AF289" s="22"/>
      <c r="AG289" s="22">
        <f t="shared" si="1112"/>
        <v>0</v>
      </c>
      <c r="AH289" s="52"/>
      <c r="AI289" s="52"/>
      <c r="AJ289" s="52">
        <f t="shared" ref="AJ289:AJ334" si="1194">+IF(AH289=0,,AI289/AH289*100)</f>
        <v>0</v>
      </c>
      <c r="AK289" s="52"/>
      <c r="AL289" s="22">
        <f t="shared" ref="AL289:AL334" si="1195">+IF(AI289=0,,AK289/AI289*100)</f>
        <v>0</v>
      </c>
      <c r="AM289" s="52"/>
      <c r="AN289" s="22">
        <f t="shared" ref="AN289:AN334" si="1196">+IF(AK289=0,,AM289/AK289*100)</f>
        <v>0</v>
      </c>
      <c r="AO289" s="22">
        <f t="shared" si="1104"/>
        <v>0</v>
      </c>
      <c r="AP289" s="22">
        <f t="shared" ref="AP289:AP334" si="1197">+IF(AH289=0,,AM289/AH289*100)</f>
        <v>0</v>
      </c>
      <c r="AQ289" s="22"/>
      <c r="AR289" s="22"/>
      <c r="AS289" s="22">
        <f t="shared" si="1186"/>
        <v>0</v>
      </c>
      <c r="AT289" s="22"/>
      <c r="AU289" s="22">
        <f t="shared" si="1113"/>
        <v>0</v>
      </c>
      <c r="AV289" s="77"/>
      <c r="AW289" s="77">
        <f t="shared" si="1139"/>
        <v>0</v>
      </c>
      <c r="AX289" s="78"/>
      <c r="AY289" s="22">
        <f t="shared" si="1114"/>
        <v>0</v>
      </c>
      <c r="AZ289" s="22"/>
      <c r="BA289" s="22"/>
      <c r="BB289" s="22"/>
      <c r="BC289" s="22"/>
      <c r="BD289" s="22"/>
      <c r="BE289" s="22">
        <f t="shared" si="1115"/>
        <v>0</v>
      </c>
      <c r="BF289" s="22"/>
      <c r="BG289" s="22"/>
      <c r="BH289" s="22">
        <f t="shared" si="1116"/>
        <v>0</v>
      </c>
      <c r="BI289" s="22"/>
      <c r="BJ289" s="40"/>
      <c r="BK289" s="19">
        <f t="shared" si="1140"/>
        <v>0</v>
      </c>
      <c r="BL289" s="19">
        <f t="shared" si="1141"/>
        <v>0</v>
      </c>
      <c r="BM289" s="19">
        <f t="shared" si="1142"/>
        <v>0</v>
      </c>
      <c r="BN289" s="19">
        <f t="shared" si="1143"/>
        <v>0</v>
      </c>
      <c r="BO289" s="19">
        <f t="shared" si="1144"/>
        <v>0</v>
      </c>
      <c r="BP289" s="19">
        <f t="shared" si="1145"/>
        <v>0</v>
      </c>
      <c r="BQ289" s="19">
        <f t="shared" si="1187"/>
        <v>0</v>
      </c>
      <c r="BR289" s="19">
        <f t="shared" si="1146"/>
        <v>0</v>
      </c>
      <c r="BS289" s="19">
        <f t="shared" si="1147"/>
        <v>0</v>
      </c>
      <c r="BT289" s="19">
        <f t="shared" si="1148"/>
        <v>0</v>
      </c>
      <c r="BU289" s="19">
        <f t="shared" si="1188"/>
        <v>0</v>
      </c>
      <c r="BV289" s="19">
        <f t="shared" si="1149"/>
        <v>0</v>
      </c>
      <c r="BW289" s="19">
        <f t="shared" si="1150"/>
        <v>0</v>
      </c>
      <c r="BX289" s="19">
        <f t="shared" si="1151"/>
        <v>0</v>
      </c>
      <c r="BY289" s="19">
        <f t="shared" si="1152"/>
        <v>0</v>
      </c>
      <c r="BZ289" s="19">
        <f t="shared" si="1153"/>
        <v>0</v>
      </c>
      <c r="CA289" s="19">
        <f t="shared" si="1154"/>
        <v>0</v>
      </c>
      <c r="CB289" s="19">
        <f t="shared" si="1155"/>
        <v>0</v>
      </c>
      <c r="CC289" s="19">
        <f t="shared" si="1156"/>
        <v>0</v>
      </c>
      <c r="CD289" s="19">
        <f t="shared" si="1088"/>
        <v>0</v>
      </c>
      <c r="CE289" s="48">
        <f t="shared" si="1157"/>
        <v>0</v>
      </c>
      <c r="CF289" s="48">
        <f t="shared" si="1158"/>
        <v>0</v>
      </c>
      <c r="CG289" s="48">
        <f t="shared" si="1159"/>
        <v>0</v>
      </c>
      <c r="CH289" s="48">
        <f t="shared" si="1160"/>
        <v>0</v>
      </c>
      <c r="CI289" s="48">
        <f t="shared" si="1161"/>
        <v>0</v>
      </c>
      <c r="CJ289" s="48">
        <f t="shared" si="1162"/>
        <v>0</v>
      </c>
      <c r="CK289" s="48">
        <f t="shared" si="1163"/>
        <v>0</v>
      </c>
      <c r="CL289" s="48">
        <f t="shared" si="1164"/>
        <v>0</v>
      </c>
      <c r="CM289" s="48">
        <f t="shared" si="1165"/>
        <v>0</v>
      </c>
      <c r="CN289" s="48">
        <f t="shared" si="1106"/>
        <v>0</v>
      </c>
      <c r="CO289" s="48">
        <f t="shared" si="1166"/>
        <v>0</v>
      </c>
      <c r="CP289" s="48">
        <f t="shared" si="1167"/>
        <v>0</v>
      </c>
      <c r="CQ289" s="48">
        <f t="shared" si="1168"/>
        <v>0</v>
      </c>
      <c r="CR289" s="48">
        <f t="shared" si="1169"/>
        <v>0</v>
      </c>
      <c r="CS289" s="48">
        <f t="shared" si="1170"/>
        <v>0</v>
      </c>
      <c r="CT289" s="48">
        <f t="shared" si="1171"/>
        <v>0</v>
      </c>
      <c r="CU289" s="48">
        <f t="shared" si="1107"/>
        <v>0</v>
      </c>
      <c r="CV289" s="48">
        <f t="shared" si="1172"/>
        <v>0</v>
      </c>
      <c r="CW289" s="19">
        <f t="shared" si="1173"/>
        <v>0</v>
      </c>
      <c r="CX289" s="19">
        <f t="shared" si="1174"/>
        <v>0</v>
      </c>
      <c r="CY289" s="19">
        <f t="shared" si="1175"/>
        <v>0</v>
      </c>
      <c r="CZ289" s="19">
        <f t="shared" si="1176"/>
        <v>0</v>
      </c>
      <c r="DA289" s="21">
        <f t="shared" si="1093"/>
        <v>0</v>
      </c>
      <c r="DB289" s="21">
        <f t="shared" si="1094"/>
        <v>0</v>
      </c>
      <c r="DC289" s="79">
        <f t="shared" si="1177"/>
        <v>0</v>
      </c>
      <c r="DD289" s="79">
        <f t="shared" si="1177"/>
        <v>0</v>
      </c>
      <c r="DE289" s="79">
        <f t="shared" si="1178"/>
        <v>0</v>
      </c>
      <c r="DF289" s="79">
        <f t="shared" si="1178"/>
        <v>0</v>
      </c>
      <c r="DG289" s="79">
        <f t="shared" si="1096"/>
        <v>0</v>
      </c>
      <c r="DH289" s="51">
        <f t="shared" si="1097"/>
        <v>0</v>
      </c>
      <c r="DI289" s="39"/>
      <c r="DJ289" s="80">
        <f t="shared" si="1179"/>
        <v>0</v>
      </c>
      <c r="DK289" s="39">
        <f t="shared" si="1180"/>
        <v>0</v>
      </c>
      <c r="DL289" s="39">
        <f t="shared" si="1181"/>
        <v>0</v>
      </c>
      <c r="DM289" s="48">
        <f>+AT289-'[2]тарифы (12-13) население 15%'!AP357</f>
        <v>0</v>
      </c>
      <c r="DN289" s="39"/>
      <c r="DO289" s="39"/>
      <c r="DP289" s="39"/>
      <c r="DQ289" s="39"/>
      <c r="DR289" s="39"/>
      <c r="DS289" s="39"/>
      <c r="DT289" s="39"/>
      <c r="DU289" s="19">
        <f t="shared" si="1117"/>
        <v>0</v>
      </c>
      <c r="DV289" s="40">
        <f t="shared" si="1118"/>
        <v>0</v>
      </c>
      <c r="DW289" s="40">
        <f t="shared" si="1119"/>
        <v>0</v>
      </c>
      <c r="DX289" s="46"/>
      <c r="DY289" s="21">
        <f t="shared" si="1120"/>
        <v>0</v>
      </c>
      <c r="DZ289" s="19">
        <f t="shared" si="1121"/>
        <v>0</v>
      </c>
      <c r="EA289" s="19">
        <f t="shared" si="1122"/>
        <v>0</v>
      </c>
      <c r="EB289" s="19"/>
      <c r="EC289" s="48">
        <f t="shared" si="1123"/>
        <v>0</v>
      </c>
      <c r="ED289" s="48">
        <f t="shared" si="1124"/>
        <v>0</v>
      </c>
      <c r="EE289" s="22"/>
      <c r="EF289" s="22"/>
      <c r="EG289" s="22">
        <f t="shared" si="1125"/>
        <v>0</v>
      </c>
      <c r="EH289" s="22"/>
      <c r="EI289" s="22"/>
      <c r="EJ289" s="22">
        <f t="shared" si="1126"/>
        <v>0</v>
      </c>
      <c r="EK289" s="40"/>
      <c r="EL289" s="19"/>
      <c r="EM289" s="19"/>
      <c r="EN289" s="40">
        <f t="shared" si="1127"/>
        <v>0</v>
      </c>
      <c r="EO289" s="40">
        <f t="shared" si="1100"/>
        <v>0</v>
      </c>
      <c r="EP289" s="40"/>
      <c r="EQ289" s="21">
        <f t="shared" si="1098"/>
        <v>0</v>
      </c>
      <c r="ER289" s="21"/>
      <c r="ES289" s="21">
        <f t="shared" si="1128"/>
        <v>0</v>
      </c>
      <c r="ET289" s="21"/>
      <c r="EU289" s="19">
        <f t="shared" si="1102"/>
        <v>0</v>
      </c>
      <c r="EV289" s="21"/>
      <c r="EW289" s="39"/>
      <c r="EX289" s="39">
        <f t="shared" si="1190"/>
        <v>0</v>
      </c>
      <c r="EY289" s="39">
        <f t="shared" si="1191"/>
        <v>0</v>
      </c>
      <c r="EZ289" s="39"/>
      <c r="FA289" s="39"/>
      <c r="FB289" s="39"/>
      <c r="FC289" s="39"/>
      <c r="FD289" s="39"/>
      <c r="FE289" s="39"/>
      <c r="FF289" s="39"/>
      <c r="FG289" s="39"/>
      <c r="FH289" s="39"/>
      <c r="FI289" s="39"/>
      <c r="FJ289" s="19">
        <f t="shared" si="1129"/>
        <v>0</v>
      </c>
      <c r="FK289" s="19">
        <f t="shared" si="1130"/>
        <v>0</v>
      </c>
      <c r="FL289" s="19">
        <f t="shared" si="1101"/>
        <v>0</v>
      </c>
      <c r="FM289" s="19"/>
      <c r="FN289" s="19"/>
      <c r="FO289" s="22"/>
      <c r="FP289" s="22"/>
      <c r="FQ289" s="22"/>
      <c r="FR289" s="22"/>
      <c r="FS289" s="22"/>
      <c r="FT289" s="22"/>
      <c r="FU289" s="40"/>
      <c r="FV289" s="19"/>
      <c r="FW289" s="19"/>
      <c r="FX289" s="19"/>
      <c r="FY289" s="19"/>
      <c r="FZ289" s="19"/>
      <c r="GA289" s="19"/>
      <c r="GB289" s="19"/>
      <c r="GC289" s="20"/>
      <c r="GD289" s="20"/>
      <c r="GE289" s="21"/>
      <c r="GF289" s="21"/>
      <c r="GG289" s="21"/>
      <c r="GH289" s="21"/>
      <c r="GI289" s="21"/>
      <c r="GJ289" s="21"/>
      <c r="GK289" s="21"/>
      <c r="GL289" s="21"/>
      <c r="GM289" s="19"/>
      <c r="GN289" s="19"/>
      <c r="GO289" s="22"/>
      <c r="GP289" s="22"/>
      <c r="GQ289" s="22"/>
      <c r="GR289" s="22"/>
      <c r="GS289" s="22"/>
      <c r="GT289" s="22"/>
      <c r="GU289" s="43"/>
      <c r="GV289" s="19"/>
      <c r="GW289" s="19"/>
      <c r="GX289" s="19"/>
      <c r="GY289" s="19"/>
      <c r="GZ289" s="23"/>
      <c r="HA289" s="22"/>
      <c r="HB289" s="22"/>
      <c r="HC289" s="22"/>
      <c r="HD289" s="22"/>
      <c r="HE289" s="22"/>
      <c r="HF289" s="22"/>
      <c r="HG289" s="233"/>
    </row>
    <row r="290" spans="2:215" ht="15.75">
      <c r="B290" s="10"/>
      <c r="C290" s="161" t="s">
        <v>204</v>
      </c>
      <c r="D290" s="73"/>
      <c r="E290" s="73"/>
      <c r="F290" s="74"/>
      <c r="G290" s="74"/>
      <c r="H290" s="74"/>
      <c r="I290" s="73"/>
      <c r="J290" s="74"/>
      <c r="K290" s="74"/>
      <c r="L290" s="74"/>
      <c r="M290" s="73">
        <f t="shared" si="1182"/>
        <v>0</v>
      </c>
      <c r="N290" s="73"/>
      <c r="O290" s="74"/>
      <c r="P290" s="74"/>
      <c r="Q290" s="74">
        <v>0</v>
      </c>
      <c r="R290" s="73"/>
      <c r="S290" s="74"/>
      <c r="T290" s="74"/>
      <c r="U290" s="74"/>
      <c r="V290" s="52">
        <v>770.27</v>
      </c>
      <c r="W290" s="52">
        <v>770.27</v>
      </c>
      <c r="X290" s="52">
        <f t="shared" si="1103"/>
        <v>100</v>
      </c>
      <c r="Y290" s="52">
        <v>815.72</v>
      </c>
      <c r="Z290" s="22">
        <f t="shared" si="1192"/>
        <v>105.90052838615031</v>
      </c>
      <c r="AA290" s="52">
        <v>854.87</v>
      </c>
      <c r="AB290" s="22">
        <f t="shared" si="1193"/>
        <v>104.7994409846516</v>
      </c>
      <c r="AC290" s="52">
        <v>854.87</v>
      </c>
      <c r="AD290" s="52">
        <v>854.87</v>
      </c>
      <c r="AE290" s="22">
        <f t="shared" si="1185"/>
        <v>111.69885479663574</v>
      </c>
      <c r="AF290" s="22">
        <v>954.88</v>
      </c>
      <c r="AG290" s="22">
        <f t="shared" si="1112"/>
        <v>111.69885479663574</v>
      </c>
      <c r="AH290" s="52"/>
      <c r="AI290" s="52"/>
      <c r="AJ290" s="52">
        <f t="shared" si="1194"/>
        <v>0</v>
      </c>
      <c r="AK290" s="52"/>
      <c r="AL290" s="22">
        <f t="shared" si="1195"/>
        <v>0</v>
      </c>
      <c r="AM290" s="52"/>
      <c r="AN290" s="22">
        <f t="shared" si="1196"/>
        <v>0</v>
      </c>
      <c r="AO290" s="22">
        <f t="shared" si="1104"/>
        <v>110.9831617484778</v>
      </c>
      <c r="AP290" s="22">
        <f t="shared" si="1197"/>
        <v>0</v>
      </c>
      <c r="AQ290" s="22"/>
      <c r="AR290" s="22">
        <v>0</v>
      </c>
      <c r="AS290" s="22">
        <f t="shared" si="1186"/>
        <v>0</v>
      </c>
      <c r="AT290" s="22"/>
      <c r="AU290" s="22">
        <f t="shared" si="1113"/>
        <v>0</v>
      </c>
      <c r="AV290" s="77"/>
      <c r="AW290" s="77">
        <f t="shared" si="1139"/>
        <v>0</v>
      </c>
      <c r="AX290" s="78" t="s">
        <v>431</v>
      </c>
      <c r="AY290" s="22">
        <f t="shared" si="1114"/>
        <v>0</v>
      </c>
      <c r="AZ290" s="22"/>
      <c r="BA290" s="22"/>
      <c r="BB290" s="22"/>
      <c r="BC290" s="22">
        <v>954.88</v>
      </c>
      <c r="BD290" s="22">
        <v>974.31</v>
      </c>
      <c r="BE290" s="22">
        <f t="shared" si="1115"/>
        <v>102.03481065683646</v>
      </c>
      <c r="BF290" s="22"/>
      <c r="BG290" s="22"/>
      <c r="BH290" s="22">
        <f t="shared" si="1116"/>
        <v>0</v>
      </c>
      <c r="BI290" s="22"/>
      <c r="BJ290" s="83" t="s">
        <v>432</v>
      </c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>
        <f t="shared" si="1150"/>
        <v>0</v>
      </c>
      <c r="BX290" s="19">
        <f t="shared" si="1151"/>
        <v>0</v>
      </c>
      <c r="BY290" s="19">
        <f t="shared" si="1152"/>
        <v>0</v>
      </c>
      <c r="BZ290" s="19">
        <f t="shared" si="1153"/>
        <v>0</v>
      </c>
      <c r="CA290" s="19">
        <f t="shared" si="1154"/>
        <v>0</v>
      </c>
      <c r="CB290" s="19">
        <f t="shared" si="1155"/>
        <v>0</v>
      </c>
      <c r="CC290" s="19">
        <f t="shared" si="1156"/>
        <v>0</v>
      </c>
      <c r="CD290" s="19">
        <f t="shared" si="1088"/>
        <v>0</v>
      </c>
      <c r="CE290" s="48">
        <f t="shared" si="1157"/>
        <v>0</v>
      </c>
      <c r="CF290" s="48">
        <f t="shared" si="1158"/>
        <v>0</v>
      </c>
      <c r="CG290" s="48">
        <f t="shared" si="1159"/>
        <v>0</v>
      </c>
      <c r="CH290" s="48">
        <f t="shared" si="1160"/>
        <v>0</v>
      </c>
      <c r="CI290" s="48">
        <f t="shared" si="1161"/>
        <v>0</v>
      </c>
      <c r="CJ290" s="48">
        <f t="shared" si="1162"/>
        <v>0</v>
      </c>
      <c r="CK290" s="48">
        <f t="shared" si="1163"/>
        <v>0</v>
      </c>
      <c r="CL290" s="48">
        <f t="shared" si="1164"/>
        <v>0</v>
      </c>
      <c r="CM290" s="48">
        <f t="shared" si="1165"/>
        <v>0</v>
      </c>
      <c r="CN290" s="48">
        <f t="shared" si="1106"/>
        <v>0</v>
      </c>
      <c r="CO290" s="48">
        <f t="shared" si="1166"/>
        <v>0</v>
      </c>
      <c r="CP290" s="48">
        <f t="shared" si="1167"/>
        <v>0</v>
      </c>
      <c r="CQ290" s="48">
        <f t="shared" si="1168"/>
        <v>0</v>
      </c>
      <c r="CR290" s="48">
        <f t="shared" si="1169"/>
        <v>0</v>
      </c>
      <c r="CS290" s="48">
        <f t="shared" si="1170"/>
        <v>0</v>
      </c>
      <c r="CT290" s="48">
        <f t="shared" si="1171"/>
        <v>0</v>
      </c>
      <c r="CU290" s="48">
        <f t="shared" si="1107"/>
        <v>0</v>
      </c>
      <c r="CV290" s="48">
        <f t="shared" si="1172"/>
        <v>0</v>
      </c>
      <c r="CW290" s="19">
        <f t="shared" si="1173"/>
        <v>0</v>
      </c>
      <c r="CX290" s="19">
        <f t="shared" si="1174"/>
        <v>0</v>
      </c>
      <c r="CY290" s="19">
        <f t="shared" si="1175"/>
        <v>0</v>
      </c>
      <c r="CZ290" s="19">
        <f t="shared" si="1176"/>
        <v>0</v>
      </c>
      <c r="DA290" s="21">
        <f t="shared" si="1093"/>
        <v>0</v>
      </c>
      <c r="DB290" s="21">
        <f t="shared" si="1094"/>
        <v>0</v>
      </c>
      <c r="DC290" s="79">
        <f t="shared" si="1177"/>
        <v>0</v>
      </c>
      <c r="DD290" s="79">
        <f t="shared" si="1177"/>
        <v>0</v>
      </c>
      <c r="DE290" s="79">
        <f t="shared" si="1178"/>
        <v>0</v>
      </c>
      <c r="DF290" s="79">
        <f t="shared" si="1178"/>
        <v>0</v>
      </c>
      <c r="DG290" s="79">
        <f t="shared" si="1096"/>
        <v>0</v>
      </c>
      <c r="DH290" s="51">
        <f t="shared" si="1097"/>
        <v>0</v>
      </c>
      <c r="DI290" s="39"/>
      <c r="DJ290" s="80">
        <f t="shared" si="1179"/>
        <v>0</v>
      </c>
      <c r="DK290" s="39">
        <f t="shared" si="1180"/>
        <v>0</v>
      </c>
      <c r="DL290" s="39">
        <f t="shared" si="1181"/>
        <v>0</v>
      </c>
      <c r="DM290" s="48">
        <f>+AT290-'[2]тарифы (12-13) население 15%'!AP358</f>
        <v>0</v>
      </c>
      <c r="DN290" s="39"/>
      <c r="DO290" s="39"/>
      <c r="DP290" s="39"/>
      <c r="DQ290" s="39"/>
      <c r="DR290" s="39"/>
      <c r="DS290" s="39"/>
      <c r="DT290" s="39"/>
      <c r="DU290" s="19">
        <f t="shared" si="1117"/>
        <v>0</v>
      </c>
      <c r="DV290" s="40">
        <f t="shared" si="1118"/>
        <v>0</v>
      </c>
      <c r="DW290" s="40">
        <f t="shared" si="1119"/>
        <v>0</v>
      </c>
      <c r="DX290" s="46"/>
      <c r="DY290" s="21">
        <f t="shared" si="1120"/>
        <v>0</v>
      </c>
      <c r="DZ290" s="19">
        <f t="shared" si="1121"/>
        <v>0</v>
      </c>
      <c r="EA290" s="19">
        <f t="shared" si="1122"/>
        <v>0</v>
      </c>
      <c r="EB290" s="19"/>
      <c r="EC290" s="48">
        <f t="shared" si="1123"/>
        <v>0</v>
      </c>
      <c r="ED290" s="48">
        <f t="shared" si="1124"/>
        <v>0</v>
      </c>
      <c r="EE290" s="22">
        <v>974.31</v>
      </c>
      <c r="EF290" s="22">
        <v>1042.51</v>
      </c>
      <c r="EG290" s="22">
        <f t="shared" si="1125"/>
        <v>106.99982551754576</v>
      </c>
      <c r="EH290" s="22"/>
      <c r="EI290" s="22"/>
      <c r="EJ290" s="22">
        <f t="shared" si="1126"/>
        <v>0</v>
      </c>
      <c r="EK290" s="83" t="s">
        <v>433</v>
      </c>
      <c r="EL290" s="19"/>
      <c r="EM290" s="19"/>
      <c r="EN290" s="40">
        <f t="shared" si="1127"/>
        <v>0</v>
      </c>
      <c r="EO290" s="40">
        <f t="shared" si="1100"/>
        <v>0</v>
      </c>
      <c r="EP290" s="40"/>
      <c r="EQ290" s="21">
        <f t="shared" si="1098"/>
        <v>0</v>
      </c>
      <c r="ER290" s="21"/>
      <c r="ES290" s="21">
        <f t="shared" si="1128"/>
        <v>0</v>
      </c>
      <c r="ET290" s="21"/>
      <c r="EU290" s="19">
        <f t="shared" si="1102"/>
        <v>0</v>
      </c>
      <c r="EV290" s="21"/>
      <c r="EW290" s="39"/>
      <c r="EX290" s="39">
        <f t="shared" si="1190"/>
        <v>0</v>
      </c>
      <c r="EY290" s="39">
        <f t="shared" si="1191"/>
        <v>0</v>
      </c>
      <c r="EZ290" s="39"/>
      <c r="FA290" s="39"/>
      <c r="FB290" s="39"/>
      <c r="FC290" s="39"/>
      <c r="FD290" s="39"/>
      <c r="FE290" s="39"/>
      <c r="FF290" s="39"/>
      <c r="FG290" s="39"/>
      <c r="FH290" s="39"/>
      <c r="FI290" s="39"/>
      <c r="FJ290" s="19">
        <f t="shared" si="1129"/>
        <v>0</v>
      </c>
      <c r="FK290" s="19">
        <f t="shared" si="1130"/>
        <v>0</v>
      </c>
      <c r="FL290" s="19">
        <f t="shared" si="1101"/>
        <v>0</v>
      </c>
      <c r="FM290" s="19">
        <v>12.757999999999999</v>
      </c>
      <c r="FN290" s="19"/>
      <c r="FO290" s="22">
        <v>1202.99</v>
      </c>
      <c r="FP290" s="22">
        <v>1228.98</v>
      </c>
      <c r="FQ290" s="22"/>
      <c r="FR290" s="22" t="s">
        <v>633</v>
      </c>
      <c r="FS290" s="22" t="s">
        <v>633</v>
      </c>
      <c r="FT290" s="22"/>
      <c r="FU290" s="40" t="s">
        <v>693</v>
      </c>
      <c r="FV290" s="19"/>
      <c r="FW290" s="19"/>
      <c r="FX290" s="19"/>
      <c r="FY290" s="19"/>
      <c r="FZ290" s="19"/>
      <c r="GA290" s="19"/>
      <c r="GB290" s="19"/>
      <c r="GC290" s="20"/>
      <c r="GD290" s="20"/>
      <c r="GE290" s="21"/>
      <c r="GF290" s="21"/>
      <c r="GG290" s="21"/>
      <c r="GH290" s="21"/>
      <c r="GI290" s="21"/>
      <c r="GJ290" s="21"/>
      <c r="GK290" s="21"/>
      <c r="GL290" s="21"/>
      <c r="GM290" s="19"/>
      <c r="GN290" s="19"/>
      <c r="GO290" s="22">
        <v>1228.98</v>
      </c>
      <c r="GP290" s="22">
        <v>1253.1600000000001</v>
      </c>
      <c r="GQ290" s="22"/>
      <c r="GR290" s="22" t="s">
        <v>633</v>
      </c>
      <c r="GS290" s="22" t="s">
        <v>633</v>
      </c>
      <c r="GT290" s="22"/>
      <c r="GU290" s="40" t="s">
        <v>693</v>
      </c>
      <c r="GV290" s="19"/>
      <c r="GW290" s="19"/>
      <c r="GX290" s="19"/>
      <c r="GY290" s="19"/>
      <c r="GZ290" s="23"/>
      <c r="HA290" s="22">
        <v>1253.1600000000001</v>
      </c>
      <c r="HB290" s="22">
        <v>1278.53</v>
      </c>
      <c r="HC290" s="22"/>
      <c r="HD290" s="22" t="s">
        <v>633</v>
      </c>
      <c r="HE290" s="22" t="s">
        <v>633</v>
      </c>
      <c r="HF290" s="22"/>
      <c r="HG290" s="236" t="s">
        <v>693</v>
      </c>
    </row>
    <row r="291" spans="2:215" ht="15.75">
      <c r="B291" s="11"/>
      <c r="C291" s="186" t="s">
        <v>574</v>
      </c>
      <c r="D291" s="76"/>
      <c r="E291" s="73"/>
      <c r="F291" s="74"/>
      <c r="G291" s="74"/>
      <c r="H291" s="74"/>
      <c r="I291" s="73"/>
      <c r="J291" s="73"/>
      <c r="K291" s="73"/>
      <c r="L291" s="73"/>
      <c r="M291" s="76"/>
      <c r="N291" s="73"/>
      <c r="O291" s="76"/>
      <c r="P291" s="76"/>
      <c r="Q291" s="76"/>
      <c r="R291" s="73"/>
      <c r="S291" s="74"/>
      <c r="T291" s="74"/>
      <c r="U291" s="74"/>
      <c r="V291" s="52"/>
      <c r="W291" s="52"/>
      <c r="X291" s="52"/>
      <c r="Y291" s="52"/>
      <c r="Z291" s="22"/>
      <c r="AA291" s="52"/>
      <c r="AB291" s="22"/>
      <c r="AC291" s="52"/>
      <c r="AD291" s="52"/>
      <c r="AE291" s="22"/>
      <c r="AF291" s="22"/>
      <c r="AG291" s="22"/>
      <c r="AH291" s="22"/>
      <c r="AI291" s="22"/>
      <c r="AJ291" s="52"/>
      <c r="AK291" s="22"/>
      <c r="AL291" s="22"/>
      <c r="AM291" s="22"/>
      <c r="AN291" s="22"/>
      <c r="AO291" s="22"/>
      <c r="AP291" s="22"/>
      <c r="AQ291" s="22"/>
      <c r="AR291" s="22"/>
      <c r="AS291" s="22"/>
      <c r="AT291" s="22"/>
      <c r="AU291" s="22"/>
      <c r="AV291" s="77"/>
      <c r="AW291" s="77"/>
      <c r="AX291" s="78"/>
      <c r="AY291" s="22"/>
      <c r="AZ291" s="22"/>
      <c r="BA291" s="22"/>
      <c r="BB291" s="22"/>
      <c r="BC291" s="22"/>
      <c r="BD291" s="22"/>
      <c r="BE291" s="22"/>
      <c r="BF291" s="22"/>
      <c r="BG291" s="22"/>
      <c r="BH291" s="22"/>
      <c r="BI291" s="22"/>
      <c r="BJ291" s="40"/>
      <c r="BK291" s="19"/>
      <c r="BL291" s="19"/>
      <c r="BM291" s="19"/>
      <c r="BN291" s="19"/>
      <c r="BO291" s="19"/>
      <c r="BP291" s="19"/>
      <c r="BQ291" s="19"/>
      <c r="BR291" s="19"/>
      <c r="BS291" s="19"/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48"/>
      <c r="CF291" s="48"/>
      <c r="CG291" s="48"/>
      <c r="CH291" s="48"/>
      <c r="CI291" s="48"/>
      <c r="CJ291" s="48"/>
      <c r="CK291" s="48"/>
      <c r="CL291" s="48"/>
      <c r="CM291" s="48"/>
      <c r="CN291" s="48"/>
      <c r="CO291" s="48"/>
      <c r="CP291" s="48"/>
      <c r="CQ291" s="48"/>
      <c r="CR291" s="48"/>
      <c r="CS291" s="48"/>
      <c r="CT291" s="48"/>
      <c r="CU291" s="48"/>
      <c r="CV291" s="48"/>
      <c r="CW291" s="19"/>
      <c r="CX291" s="19"/>
      <c r="CY291" s="19"/>
      <c r="CZ291" s="19"/>
      <c r="DA291" s="21"/>
      <c r="DB291" s="21"/>
      <c r="DC291" s="79"/>
      <c r="DD291" s="79"/>
      <c r="DE291" s="79"/>
      <c r="DF291" s="79"/>
      <c r="DG291" s="79"/>
      <c r="DH291" s="51"/>
      <c r="DI291" s="39"/>
      <c r="DJ291" s="80"/>
      <c r="DK291" s="39"/>
      <c r="DL291" s="39"/>
      <c r="DM291" s="48"/>
      <c r="DN291" s="39"/>
      <c r="DO291" s="39"/>
      <c r="DP291" s="39"/>
      <c r="DQ291" s="39"/>
      <c r="DR291" s="39"/>
      <c r="DS291" s="39"/>
      <c r="DT291" s="39"/>
      <c r="DU291" s="19"/>
      <c r="DV291" s="40"/>
      <c r="DW291" s="40"/>
      <c r="DX291" s="21"/>
      <c r="DY291" s="21"/>
      <c r="DZ291" s="19"/>
      <c r="EA291" s="19"/>
      <c r="EB291" s="19"/>
      <c r="EC291" s="48"/>
      <c r="ED291" s="48"/>
      <c r="EE291" s="22"/>
      <c r="EF291" s="22"/>
      <c r="EG291" s="22"/>
      <c r="EH291" s="22"/>
      <c r="EI291" s="22"/>
      <c r="EJ291" s="22"/>
      <c r="EK291" s="40"/>
      <c r="EL291" s="19"/>
      <c r="EM291" s="19"/>
      <c r="EN291" s="40"/>
      <c r="EO291" s="40"/>
      <c r="EP291" s="40"/>
      <c r="EQ291" s="21"/>
      <c r="ER291" s="21"/>
      <c r="ES291" s="19"/>
      <c r="ET291" s="19"/>
      <c r="EU291" s="19"/>
      <c r="EV291" s="21"/>
      <c r="EW291" s="166"/>
      <c r="EX291" s="39"/>
      <c r="EY291" s="39"/>
      <c r="EZ291" s="39"/>
      <c r="FA291" s="39"/>
      <c r="FB291" s="39"/>
      <c r="FC291" s="39"/>
      <c r="FD291" s="39"/>
      <c r="FE291" s="39"/>
      <c r="FF291" s="39"/>
      <c r="FG291" s="39"/>
      <c r="FH291" s="39"/>
      <c r="FI291" s="39"/>
      <c r="FJ291" s="19"/>
      <c r="FK291" s="19"/>
      <c r="FL291" s="19"/>
      <c r="FM291" s="19"/>
      <c r="FN291" s="19"/>
      <c r="FO291" s="22"/>
      <c r="FP291" s="22"/>
      <c r="FQ291" s="22"/>
      <c r="FR291" s="22"/>
      <c r="FS291" s="22"/>
      <c r="FT291" s="22"/>
      <c r="FU291" s="40"/>
      <c r="FV291" s="19"/>
      <c r="FW291" s="19"/>
      <c r="FX291" s="19"/>
      <c r="FY291" s="19"/>
      <c r="FZ291" s="19"/>
      <c r="GA291" s="19"/>
      <c r="GB291" s="19"/>
      <c r="GC291" s="20"/>
      <c r="GD291" s="20"/>
      <c r="GE291" s="19"/>
      <c r="GF291" s="19"/>
      <c r="GG291" s="19"/>
      <c r="GH291" s="19"/>
      <c r="GI291" s="19"/>
      <c r="GJ291" s="21"/>
      <c r="GK291" s="19"/>
      <c r="GL291" s="19"/>
      <c r="GM291" s="19"/>
      <c r="GN291" s="19"/>
      <c r="GO291" s="22"/>
      <c r="GP291" s="22"/>
      <c r="GQ291" s="22"/>
      <c r="GR291" s="22"/>
      <c r="GS291" s="22"/>
      <c r="GT291" s="22"/>
      <c r="GU291" s="43"/>
      <c r="GV291" s="19"/>
      <c r="GW291" s="19"/>
      <c r="GX291" s="19"/>
      <c r="GY291" s="19"/>
      <c r="GZ291" s="23"/>
      <c r="HA291" s="22"/>
      <c r="HB291" s="22"/>
      <c r="HC291" s="22"/>
      <c r="HD291" s="22"/>
      <c r="HE291" s="22"/>
      <c r="HF291" s="22"/>
      <c r="HG291" s="233"/>
    </row>
    <row r="292" spans="2:215" ht="15.75">
      <c r="B292" s="10"/>
      <c r="C292" s="184" t="s">
        <v>131</v>
      </c>
      <c r="D292" s="76"/>
      <c r="E292" s="73"/>
      <c r="F292" s="74"/>
      <c r="G292" s="74"/>
      <c r="H292" s="74"/>
      <c r="I292" s="73"/>
      <c r="J292" s="73"/>
      <c r="K292" s="73"/>
      <c r="L292" s="73"/>
      <c r="M292" s="76"/>
      <c r="N292" s="73"/>
      <c r="O292" s="76"/>
      <c r="P292" s="76"/>
      <c r="Q292" s="76"/>
      <c r="R292" s="73"/>
      <c r="S292" s="74"/>
      <c r="T292" s="74"/>
      <c r="U292" s="74"/>
      <c r="V292" s="52"/>
      <c r="W292" s="52"/>
      <c r="X292" s="52"/>
      <c r="Y292" s="52"/>
      <c r="Z292" s="22"/>
      <c r="AA292" s="52"/>
      <c r="AB292" s="22"/>
      <c r="AC292" s="52"/>
      <c r="AD292" s="52"/>
      <c r="AE292" s="22"/>
      <c r="AF292" s="22"/>
      <c r="AG292" s="22"/>
      <c r="AH292" s="22"/>
      <c r="AI292" s="22"/>
      <c r="AJ292" s="52"/>
      <c r="AK292" s="22"/>
      <c r="AL292" s="22"/>
      <c r="AM292" s="22"/>
      <c r="AN292" s="22"/>
      <c r="AO292" s="22"/>
      <c r="AP292" s="22"/>
      <c r="AQ292" s="22"/>
      <c r="AR292" s="22"/>
      <c r="AS292" s="22"/>
      <c r="AT292" s="22"/>
      <c r="AU292" s="22"/>
      <c r="AV292" s="77"/>
      <c r="AW292" s="77"/>
      <c r="AX292" s="78"/>
      <c r="AY292" s="22"/>
      <c r="AZ292" s="22"/>
      <c r="BA292" s="22"/>
      <c r="BB292" s="22"/>
      <c r="BC292" s="22"/>
      <c r="BD292" s="22"/>
      <c r="BE292" s="22"/>
      <c r="BF292" s="22"/>
      <c r="BG292" s="22"/>
      <c r="BH292" s="22"/>
      <c r="BI292" s="22"/>
      <c r="BJ292" s="40"/>
      <c r="BK292" s="19"/>
      <c r="BL292" s="19"/>
      <c r="BM292" s="19"/>
      <c r="BN292" s="19"/>
      <c r="BO292" s="19"/>
      <c r="BP292" s="19"/>
      <c r="BQ292" s="19"/>
      <c r="BR292" s="19"/>
      <c r="BS292" s="19"/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48"/>
      <c r="CF292" s="48"/>
      <c r="CG292" s="48"/>
      <c r="CH292" s="48"/>
      <c r="CI292" s="48"/>
      <c r="CJ292" s="48"/>
      <c r="CK292" s="48"/>
      <c r="CL292" s="48"/>
      <c r="CM292" s="48"/>
      <c r="CN292" s="48"/>
      <c r="CO292" s="48"/>
      <c r="CP292" s="48"/>
      <c r="CQ292" s="48"/>
      <c r="CR292" s="48"/>
      <c r="CS292" s="48"/>
      <c r="CT292" s="48"/>
      <c r="CU292" s="48"/>
      <c r="CV292" s="48"/>
      <c r="CW292" s="19"/>
      <c r="CX292" s="19"/>
      <c r="CY292" s="19"/>
      <c r="CZ292" s="19"/>
      <c r="DA292" s="21"/>
      <c r="DB292" s="21"/>
      <c r="DC292" s="79"/>
      <c r="DD292" s="79"/>
      <c r="DE292" s="79"/>
      <c r="DF292" s="79"/>
      <c r="DG292" s="79"/>
      <c r="DH292" s="51"/>
      <c r="DI292" s="39"/>
      <c r="DJ292" s="80"/>
      <c r="DK292" s="39"/>
      <c r="DL292" s="39"/>
      <c r="DM292" s="48"/>
      <c r="DN292" s="39"/>
      <c r="DO292" s="39"/>
      <c r="DP292" s="39"/>
      <c r="DQ292" s="39"/>
      <c r="DR292" s="39"/>
      <c r="DS292" s="39"/>
      <c r="DT292" s="39"/>
      <c r="DU292" s="19"/>
      <c r="DV292" s="40"/>
      <c r="DW292" s="40"/>
      <c r="DX292" s="21"/>
      <c r="DY292" s="21"/>
      <c r="DZ292" s="19"/>
      <c r="EA292" s="19"/>
      <c r="EB292" s="19"/>
      <c r="EC292" s="48"/>
      <c r="ED292" s="48"/>
      <c r="EE292" s="22"/>
      <c r="EF292" s="22"/>
      <c r="EG292" s="22"/>
      <c r="EH292" s="22"/>
      <c r="EI292" s="22"/>
      <c r="EJ292" s="22"/>
      <c r="EK292" s="40"/>
      <c r="EL292" s="19"/>
      <c r="EM292" s="19"/>
      <c r="EN292" s="40"/>
      <c r="EO292" s="40"/>
      <c r="EP292" s="40"/>
      <c r="EQ292" s="21"/>
      <c r="ER292" s="21"/>
      <c r="ES292" s="19"/>
      <c r="ET292" s="19"/>
      <c r="EU292" s="19"/>
      <c r="EV292" s="21"/>
      <c r="EW292" s="166"/>
      <c r="EX292" s="39"/>
      <c r="EY292" s="39"/>
      <c r="EZ292" s="39"/>
      <c r="FA292" s="39"/>
      <c r="FB292" s="39"/>
      <c r="FC292" s="39"/>
      <c r="FD292" s="39"/>
      <c r="FE292" s="39"/>
      <c r="FF292" s="39"/>
      <c r="FG292" s="39"/>
      <c r="FH292" s="39"/>
      <c r="FI292" s="39"/>
      <c r="FJ292" s="19"/>
      <c r="FK292" s="19"/>
      <c r="FL292" s="19"/>
      <c r="FM292" s="19"/>
      <c r="FN292" s="19"/>
      <c r="FO292" s="22">
        <v>21.26</v>
      </c>
      <c r="FP292" s="22">
        <v>21.69</v>
      </c>
      <c r="FQ292" s="22"/>
      <c r="FR292" s="22">
        <v>25.51</v>
      </c>
      <c r="FS292" s="22">
        <v>26.03</v>
      </c>
      <c r="FT292" s="22"/>
      <c r="FU292" s="242" t="s">
        <v>648</v>
      </c>
      <c r="FV292" s="19"/>
      <c r="FW292" s="19"/>
      <c r="FX292" s="19"/>
      <c r="FY292" s="19"/>
      <c r="FZ292" s="19"/>
      <c r="GA292" s="19"/>
      <c r="GB292" s="19"/>
      <c r="GC292" s="20"/>
      <c r="GD292" s="20"/>
      <c r="GE292" s="19"/>
      <c r="GF292" s="19"/>
      <c r="GG292" s="19"/>
      <c r="GH292" s="19"/>
      <c r="GI292" s="19"/>
      <c r="GJ292" s="21"/>
      <c r="GK292" s="19"/>
      <c r="GL292" s="19"/>
      <c r="GM292" s="19"/>
      <c r="GN292" s="19"/>
      <c r="GO292" s="22">
        <v>21.89</v>
      </c>
      <c r="GP292" s="22">
        <v>22.66</v>
      </c>
      <c r="GQ292" s="22"/>
      <c r="GR292" s="22">
        <v>25.83</v>
      </c>
      <c r="GS292" s="22">
        <v>26.74</v>
      </c>
      <c r="GT292" s="22"/>
      <c r="GU292" s="242" t="s">
        <v>648</v>
      </c>
      <c r="GV292" s="19"/>
      <c r="GW292" s="19"/>
      <c r="GX292" s="19"/>
      <c r="GY292" s="19"/>
      <c r="GZ292" s="23"/>
      <c r="HA292" s="22" t="s">
        <v>633</v>
      </c>
      <c r="HB292" s="22" t="s">
        <v>633</v>
      </c>
      <c r="HC292" s="22"/>
      <c r="HD292" s="22" t="s">
        <v>633</v>
      </c>
      <c r="HE292" s="22" t="s">
        <v>633</v>
      </c>
      <c r="HF292" s="22"/>
      <c r="HG292" s="233" t="s">
        <v>633</v>
      </c>
    </row>
    <row r="293" spans="2:215" ht="15.75">
      <c r="B293" s="10"/>
      <c r="C293" s="184" t="s">
        <v>133</v>
      </c>
      <c r="D293" s="76"/>
      <c r="E293" s="73"/>
      <c r="F293" s="74"/>
      <c r="G293" s="74"/>
      <c r="H293" s="74"/>
      <c r="I293" s="73"/>
      <c r="J293" s="73"/>
      <c r="K293" s="73"/>
      <c r="L293" s="73"/>
      <c r="M293" s="76"/>
      <c r="N293" s="73"/>
      <c r="O293" s="76"/>
      <c r="P293" s="76"/>
      <c r="Q293" s="76"/>
      <c r="R293" s="73"/>
      <c r="S293" s="74"/>
      <c r="T293" s="74"/>
      <c r="U293" s="74"/>
      <c r="V293" s="52"/>
      <c r="W293" s="52"/>
      <c r="X293" s="52"/>
      <c r="Y293" s="52"/>
      <c r="Z293" s="22"/>
      <c r="AA293" s="52"/>
      <c r="AB293" s="22"/>
      <c r="AC293" s="52"/>
      <c r="AD293" s="52"/>
      <c r="AE293" s="22"/>
      <c r="AF293" s="22"/>
      <c r="AG293" s="22"/>
      <c r="AH293" s="22"/>
      <c r="AI293" s="22"/>
      <c r="AJ293" s="52"/>
      <c r="AK293" s="22"/>
      <c r="AL293" s="22"/>
      <c r="AM293" s="22"/>
      <c r="AN293" s="22"/>
      <c r="AO293" s="22"/>
      <c r="AP293" s="22"/>
      <c r="AQ293" s="22"/>
      <c r="AR293" s="22"/>
      <c r="AS293" s="22"/>
      <c r="AT293" s="22"/>
      <c r="AU293" s="22"/>
      <c r="AV293" s="77"/>
      <c r="AW293" s="77"/>
      <c r="AX293" s="78"/>
      <c r="AY293" s="22"/>
      <c r="AZ293" s="22"/>
      <c r="BA293" s="22"/>
      <c r="BB293" s="22"/>
      <c r="BC293" s="22"/>
      <c r="BD293" s="22"/>
      <c r="BE293" s="22"/>
      <c r="BF293" s="22"/>
      <c r="BG293" s="22"/>
      <c r="BH293" s="22"/>
      <c r="BI293" s="22"/>
      <c r="BJ293" s="40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48"/>
      <c r="CF293" s="48"/>
      <c r="CG293" s="48"/>
      <c r="CH293" s="48"/>
      <c r="CI293" s="48"/>
      <c r="CJ293" s="48"/>
      <c r="CK293" s="48"/>
      <c r="CL293" s="48"/>
      <c r="CM293" s="48"/>
      <c r="CN293" s="48"/>
      <c r="CO293" s="48"/>
      <c r="CP293" s="48"/>
      <c r="CQ293" s="48"/>
      <c r="CR293" s="48"/>
      <c r="CS293" s="48"/>
      <c r="CT293" s="48"/>
      <c r="CU293" s="48"/>
      <c r="CV293" s="48"/>
      <c r="CW293" s="19"/>
      <c r="CX293" s="19"/>
      <c r="CY293" s="19"/>
      <c r="CZ293" s="19"/>
      <c r="DA293" s="21"/>
      <c r="DB293" s="21"/>
      <c r="DC293" s="79"/>
      <c r="DD293" s="79"/>
      <c r="DE293" s="79"/>
      <c r="DF293" s="79"/>
      <c r="DG293" s="79"/>
      <c r="DH293" s="51"/>
      <c r="DI293" s="39"/>
      <c r="DJ293" s="80"/>
      <c r="DK293" s="39"/>
      <c r="DL293" s="39"/>
      <c r="DM293" s="48"/>
      <c r="DN293" s="39"/>
      <c r="DO293" s="39"/>
      <c r="DP293" s="39"/>
      <c r="DQ293" s="39"/>
      <c r="DR293" s="39"/>
      <c r="DS293" s="39"/>
      <c r="DT293" s="39"/>
      <c r="DU293" s="19"/>
      <c r="DV293" s="40"/>
      <c r="DW293" s="40"/>
      <c r="DX293" s="21"/>
      <c r="DY293" s="21"/>
      <c r="DZ293" s="19"/>
      <c r="EA293" s="19"/>
      <c r="EB293" s="19"/>
      <c r="EC293" s="48"/>
      <c r="ED293" s="48"/>
      <c r="EE293" s="22"/>
      <c r="EF293" s="22"/>
      <c r="EG293" s="22"/>
      <c r="EH293" s="22"/>
      <c r="EI293" s="22"/>
      <c r="EJ293" s="22"/>
      <c r="EK293" s="40"/>
      <c r="EL293" s="19"/>
      <c r="EM293" s="19"/>
      <c r="EN293" s="40"/>
      <c r="EO293" s="40"/>
      <c r="EP293" s="40"/>
      <c r="EQ293" s="21"/>
      <c r="ER293" s="21"/>
      <c r="ES293" s="19"/>
      <c r="ET293" s="19"/>
      <c r="EU293" s="19"/>
      <c r="EV293" s="21"/>
      <c r="EW293" s="166"/>
      <c r="EX293" s="39"/>
      <c r="EY293" s="39"/>
      <c r="EZ293" s="39"/>
      <c r="FA293" s="39"/>
      <c r="FB293" s="39"/>
      <c r="FC293" s="39"/>
      <c r="FD293" s="39"/>
      <c r="FE293" s="39"/>
      <c r="FF293" s="39"/>
      <c r="FG293" s="39"/>
      <c r="FH293" s="39"/>
      <c r="FI293" s="39"/>
      <c r="FJ293" s="19"/>
      <c r="FK293" s="19"/>
      <c r="FL293" s="19"/>
      <c r="FM293" s="19"/>
      <c r="FN293" s="19"/>
      <c r="FO293" s="22">
        <v>6.42</v>
      </c>
      <c r="FP293" s="22">
        <v>6.52</v>
      </c>
      <c r="FQ293" s="22"/>
      <c r="FR293" s="22">
        <v>7.7</v>
      </c>
      <c r="FS293" s="22">
        <v>7.82</v>
      </c>
      <c r="FT293" s="22"/>
      <c r="FU293" s="242"/>
      <c r="FV293" s="19"/>
      <c r="FW293" s="19"/>
      <c r="FX293" s="19"/>
      <c r="FY293" s="19"/>
      <c r="FZ293" s="19"/>
      <c r="GA293" s="19"/>
      <c r="GB293" s="19"/>
      <c r="GC293" s="20"/>
      <c r="GD293" s="20"/>
      <c r="GE293" s="19"/>
      <c r="GF293" s="19"/>
      <c r="GG293" s="19"/>
      <c r="GH293" s="19"/>
      <c r="GI293" s="19"/>
      <c r="GJ293" s="21"/>
      <c r="GK293" s="19"/>
      <c r="GL293" s="19"/>
      <c r="GM293" s="19"/>
      <c r="GN293" s="19"/>
      <c r="GO293" s="22">
        <v>6.61</v>
      </c>
      <c r="GP293" s="22">
        <v>6.81</v>
      </c>
      <c r="GQ293" s="22"/>
      <c r="GR293" s="22">
        <v>7.8</v>
      </c>
      <c r="GS293" s="22">
        <v>8.0399999999999991</v>
      </c>
      <c r="GT293" s="22"/>
      <c r="GU293" s="242"/>
      <c r="GV293" s="19"/>
      <c r="GW293" s="19"/>
      <c r="GX293" s="19"/>
      <c r="GY293" s="19"/>
      <c r="GZ293" s="23"/>
      <c r="HA293" s="22" t="s">
        <v>633</v>
      </c>
      <c r="HB293" s="22" t="s">
        <v>633</v>
      </c>
      <c r="HC293" s="22"/>
      <c r="HD293" s="22" t="s">
        <v>633</v>
      </c>
      <c r="HE293" s="22" t="s">
        <v>633</v>
      </c>
      <c r="HF293" s="22"/>
      <c r="HG293" s="233" t="s">
        <v>633</v>
      </c>
    </row>
    <row r="294" spans="2:215" ht="15.75">
      <c r="B294" s="11"/>
      <c r="C294" s="161" t="s">
        <v>204</v>
      </c>
      <c r="D294" s="76"/>
      <c r="E294" s="73"/>
      <c r="F294" s="74"/>
      <c r="G294" s="74"/>
      <c r="H294" s="74"/>
      <c r="I294" s="73"/>
      <c r="J294" s="73"/>
      <c r="K294" s="73"/>
      <c r="L294" s="73"/>
      <c r="M294" s="76"/>
      <c r="N294" s="73"/>
      <c r="O294" s="76"/>
      <c r="P294" s="76"/>
      <c r="Q294" s="76"/>
      <c r="R294" s="73"/>
      <c r="S294" s="74"/>
      <c r="T294" s="74"/>
      <c r="U294" s="74"/>
      <c r="V294" s="52"/>
      <c r="W294" s="52"/>
      <c r="X294" s="52"/>
      <c r="Y294" s="52"/>
      <c r="Z294" s="22"/>
      <c r="AA294" s="52"/>
      <c r="AB294" s="22"/>
      <c r="AC294" s="52"/>
      <c r="AD294" s="52"/>
      <c r="AE294" s="22"/>
      <c r="AF294" s="22"/>
      <c r="AG294" s="22"/>
      <c r="AH294" s="22"/>
      <c r="AI294" s="22"/>
      <c r="AJ294" s="52"/>
      <c r="AK294" s="22"/>
      <c r="AL294" s="22"/>
      <c r="AM294" s="22"/>
      <c r="AN294" s="22"/>
      <c r="AO294" s="22"/>
      <c r="AP294" s="22"/>
      <c r="AQ294" s="22"/>
      <c r="AR294" s="22"/>
      <c r="AS294" s="22"/>
      <c r="AT294" s="22"/>
      <c r="AU294" s="22"/>
      <c r="AV294" s="77"/>
      <c r="AW294" s="77"/>
      <c r="AX294" s="78"/>
      <c r="AY294" s="22"/>
      <c r="AZ294" s="22"/>
      <c r="BA294" s="22"/>
      <c r="BB294" s="22"/>
      <c r="BC294" s="22"/>
      <c r="BD294" s="22"/>
      <c r="BE294" s="22"/>
      <c r="BF294" s="22"/>
      <c r="BG294" s="22"/>
      <c r="BH294" s="22"/>
      <c r="BI294" s="22"/>
      <c r="BJ294" s="40"/>
      <c r="BK294" s="19"/>
      <c r="BL294" s="19"/>
      <c r="BM294" s="19"/>
      <c r="BN294" s="19"/>
      <c r="BO294" s="19"/>
      <c r="BP294" s="19"/>
      <c r="BQ294" s="19"/>
      <c r="BR294" s="19"/>
      <c r="BS294" s="19"/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48"/>
      <c r="CF294" s="48"/>
      <c r="CG294" s="48"/>
      <c r="CH294" s="48"/>
      <c r="CI294" s="48"/>
      <c r="CJ294" s="48"/>
      <c r="CK294" s="48"/>
      <c r="CL294" s="48"/>
      <c r="CM294" s="48"/>
      <c r="CN294" s="48"/>
      <c r="CO294" s="48"/>
      <c r="CP294" s="48"/>
      <c r="CQ294" s="48"/>
      <c r="CR294" s="48"/>
      <c r="CS294" s="48"/>
      <c r="CT294" s="48"/>
      <c r="CU294" s="48"/>
      <c r="CV294" s="48"/>
      <c r="CW294" s="19"/>
      <c r="CX294" s="19"/>
      <c r="CY294" s="19"/>
      <c r="CZ294" s="19"/>
      <c r="DA294" s="21"/>
      <c r="DB294" s="21"/>
      <c r="DC294" s="79"/>
      <c r="DD294" s="79"/>
      <c r="DE294" s="79"/>
      <c r="DF294" s="79"/>
      <c r="DG294" s="79"/>
      <c r="DH294" s="51"/>
      <c r="DI294" s="39"/>
      <c r="DJ294" s="80"/>
      <c r="DK294" s="39"/>
      <c r="DL294" s="39"/>
      <c r="DM294" s="48"/>
      <c r="DN294" s="39"/>
      <c r="DO294" s="39"/>
      <c r="DP294" s="39"/>
      <c r="DQ294" s="39"/>
      <c r="DR294" s="39"/>
      <c r="DS294" s="39"/>
      <c r="DT294" s="39"/>
      <c r="DU294" s="19"/>
      <c r="DV294" s="40"/>
      <c r="DW294" s="40"/>
      <c r="DX294" s="21"/>
      <c r="DY294" s="21"/>
      <c r="DZ294" s="19"/>
      <c r="EA294" s="19"/>
      <c r="EB294" s="19"/>
      <c r="EC294" s="48"/>
      <c r="ED294" s="48"/>
      <c r="EE294" s="22"/>
      <c r="EF294" s="22"/>
      <c r="EG294" s="22"/>
      <c r="EH294" s="22"/>
      <c r="EI294" s="22"/>
      <c r="EJ294" s="22"/>
      <c r="EK294" s="40"/>
      <c r="EL294" s="19"/>
      <c r="EM294" s="19"/>
      <c r="EN294" s="40"/>
      <c r="EO294" s="40"/>
      <c r="EP294" s="40"/>
      <c r="EQ294" s="21"/>
      <c r="ER294" s="21"/>
      <c r="ES294" s="19"/>
      <c r="ET294" s="19"/>
      <c r="EU294" s="19"/>
      <c r="EV294" s="21"/>
      <c r="EW294" s="166"/>
      <c r="EX294" s="39"/>
      <c r="EY294" s="39"/>
      <c r="EZ294" s="39"/>
      <c r="FA294" s="39"/>
      <c r="FB294" s="39"/>
      <c r="FC294" s="39"/>
      <c r="FD294" s="39"/>
      <c r="FE294" s="39"/>
      <c r="FF294" s="39"/>
      <c r="FG294" s="39"/>
      <c r="FH294" s="39"/>
      <c r="FI294" s="39"/>
      <c r="FJ294" s="19"/>
      <c r="FK294" s="19"/>
      <c r="FL294" s="19"/>
      <c r="FM294" s="19"/>
      <c r="FN294" s="19"/>
      <c r="FO294" s="22">
        <v>2862.99</v>
      </c>
      <c r="FP294" s="22">
        <v>2940.25</v>
      </c>
      <c r="FQ294" s="22"/>
      <c r="FR294" s="22">
        <v>2300.0700000000002</v>
      </c>
      <c r="FS294" s="22">
        <v>2361.94</v>
      </c>
      <c r="FT294" s="22"/>
      <c r="FU294" s="40" t="s">
        <v>647</v>
      </c>
      <c r="FV294" s="19"/>
      <c r="FW294" s="19"/>
      <c r="FX294" s="19"/>
      <c r="FY294" s="19"/>
      <c r="FZ294" s="19"/>
      <c r="GA294" s="19"/>
      <c r="GB294" s="19"/>
      <c r="GC294" s="20"/>
      <c r="GD294" s="20"/>
      <c r="GE294" s="19"/>
      <c r="GF294" s="19"/>
      <c r="GG294" s="19"/>
      <c r="GH294" s="19"/>
      <c r="GI294" s="19"/>
      <c r="GJ294" s="21"/>
      <c r="GK294" s="19"/>
      <c r="GL294" s="19"/>
      <c r="GM294" s="19"/>
      <c r="GN294" s="19"/>
      <c r="GO294" s="22">
        <v>2957.08</v>
      </c>
      <c r="GP294" s="22">
        <v>3061.89</v>
      </c>
      <c r="GQ294" s="22"/>
      <c r="GR294" s="22">
        <v>2352.31</v>
      </c>
      <c r="GS294" s="22">
        <v>2446.4</v>
      </c>
      <c r="GT294" s="22"/>
      <c r="GU294" s="40" t="s">
        <v>647</v>
      </c>
      <c r="GV294" s="19"/>
      <c r="GW294" s="19"/>
      <c r="GX294" s="19"/>
      <c r="GY294" s="19"/>
      <c r="GZ294" s="23"/>
      <c r="HA294" s="22" t="s">
        <v>633</v>
      </c>
      <c r="HB294" s="22" t="s">
        <v>633</v>
      </c>
      <c r="HC294" s="22"/>
      <c r="HD294" s="22" t="s">
        <v>633</v>
      </c>
      <c r="HE294" s="22" t="s">
        <v>633</v>
      </c>
      <c r="HF294" s="22"/>
      <c r="HG294" s="233" t="s">
        <v>633</v>
      </c>
    </row>
    <row r="295" spans="2:215" ht="15.6" customHeight="1">
      <c r="B295" s="11" t="s">
        <v>434</v>
      </c>
      <c r="C295" s="81" t="s">
        <v>607</v>
      </c>
      <c r="D295" s="144"/>
      <c r="E295" s="144"/>
      <c r="F295" s="74"/>
      <c r="G295" s="74"/>
      <c r="H295" s="74"/>
      <c r="I295" s="144"/>
      <c r="J295" s="74"/>
      <c r="K295" s="74"/>
      <c r="L295" s="74"/>
      <c r="M295" s="144"/>
      <c r="N295" s="144"/>
      <c r="O295" s="74"/>
      <c r="P295" s="74"/>
      <c r="Q295" s="74"/>
      <c r="R295" s="144"/>
      <c r="S295" s="74"/>
      <c r="T295" s="74"/>
      <c r="U295" s="74"/>
      <c r="V295" s="130"/>
      <c r="W295" s="130"/>
      <c r="X295" s="22"/>
      <c r="Y295" s="130"/>
      <c r="Z295" s="22"/>
      <c r="AA295" s="130"/>
      <c r="AB295" s="22"/>
      <c r="AC295" s="130"/>
      <c r="AD295" s="130"/>
      <c r="AE295" s="22"/>
      <c r="AF295" s="22"/>
      <c r="AG295" s="22"/>
      <c r="AH295" s="52"/>
      <c r="AI295" s="52"/>
      <c r="AJ295" s="22"/>
      <c r="AK295" s="52"/>
      <c r="AL295" s="22"/>
      <c r="AM295" s="52"/>
      <c r="AN295" s="22"/>
      <c r="AO295" s="22"/>
      <c r="AP295" s="22"/>
      <c r="AQ295" s="22"/>
      <c r="AR295" s="22"/>
      <c r="AS295" s="22"/>
      <c r="AT295" s="22"/>
      <c r="AU295" s="22"/>
      <c r="AV295" s="77"/>
      <c r="AW295" s="77"/>
      <c r="AX295" s="78"/>
      <c r="AY295" s="22"/>
      <c r="AZ295" s="22"/>
      <c r="BA295" s="22"/>
      <c r="BB295" s="22"/>
      <c r="BC295" s="22"/>
      <c r="BD295" s="22"/>
      <c r="BE295" s="22"/>
      <c r="BF295" s="22"/>
      <c r="BG295" s="22"/>
      <c r="BH295" s="22"/>
      <c r="BI295" s="22"/>
      <c r="BJ295" s="40"/>
      <c r="BK295" s="19"/>
      <c r="BL295" s="19"/>
      <c r="BM295" s="19"/>
      <c r="BN295" s="19"/>
      <c r="BO295" s="19"/>
      <c r="BP295" s="19"/>
      <c r="BQ295" s="19"/>
      <c r="BR295" s="19"/>
      <c r="BS295" s="19"/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48"/>
      <c r="CF295" s="48"/>
      <c r="CG295" s="48"/>
      <c r="CH295" s="48"/>
      <c r="CI295" s="48"/>
      <c r="CJ295" s="48"/>
      <c r="CK295" s="48"/>
      <c r="CL295" s="48"/>
      <c r="CM295" s="48"/>
      <c r="CN295" s="48"/>
      <c r="CO295" s="48"/>
      <c r="CP295" s="48"/>
      <c r="CQ295" s="48"/>
      <c r="CR295" s="48"/>
      <c r="CS295" s="48"/>
      <c r="CT295" s="48"/>
      <c r="CU295" s="48"/>
      <c r="CV295" s="48"/>
      <c r="CW295" s="19"/>
      <c r="CX295" s="19"/>
      <c r="CY295" s="19"/>
      <c r="CZ295" s="19"/>
      <c r="DA295" s="21"/>
      <c r="DB295" s="21"/>
      <c r="DC295" s="79"/>
      <c r="DD295" s="79"/>
      <c r="DE295" s="79"/>
      <c r="DF295" s="79"/>
      <c r="DG295" s="79"/>
      <c r="DH295" s="51"/>
      <c r="DI295" s="39"/>
      <c r="DJ295" s="80"/>
      <c r="DK295" s="39"/>
      <c r="DL295" s="39"/>
      <c r="DM295" s="48"/>
      <c r="DN295" s="39"/>
      <c r="DO295" s="39"/>
      <c r="DP295" s="39"/>
      <c r="DQ295" s="39"/>
      <c r="DR295" s="39"/>
      <c r="DS295" s="39"/>
      <c r="DT295" s="39"/>
      <c r="DU295" s="19"/>
      <c r="DV295" s="40"/>
      <c r="DW295" s="40"/>
      <c r="DX295" s="46"/>
      <c r="DY295" s="21"/>
      <c r="DZ295" s="19"/>
      <c r="EA295" s="19"/>
      <c r="EB295" s="19"/>
      <c r="EC295" s="48"/>
      <c r="ED295" s="48"/>
      <c r="EE295" s="22"/>
      <c r="EF295" s="22"/>
      <c r="EG295" s="22"/>
      <c r="EH295" s="22"/>
      <c r="EI295" s="22"/>
      <c r="EJ295" s="22"/>
      <c r="EK295" s="40"/>
      <c r="EL295" s="19"/>
      <c r="EM295" s="19"/>
      <c r="EN295" s="40"/>
      <c r="EO295" s="40"/>
      <c r="EP295" s="40"/>
      <c r="EQ295" s="21"/>
      <c r="ER295" s="21"/>
      <c r="ES295" s="21"/>
      <c r="ET295" s="21"/>
      <c r="EU295" s="19"/>
      <c r="EV295" s="21"/>
      <c r="EW295" s="39"/>
      <c r="EX295" s="39"/>
      <c r="EY295" s="39"/>
      <c r="EZ295" s="39"/>
      <c r="FA295" s="39"/>
      <c r="FB295" s="39"/>
      <c r="FC295" s="39"/>
      <c r="FD295" s="39"/>
      <c r="FE295" s="39"/>
      <c r="FF295" s="39"/>
      <c r="FG295" s="39"/>
      <c r="FH295" s="39"/>
      <c r="FI295" s="39"/>
      <c r="FJ295" s="19"/>
      <c r="FK295" s="19"/>
      <c r="FL295" s="19"/>
      <c r="FM295" s="19"/>
      <c r="FN295" s="19"/>
      <c r="FO295" s="22"/>
      <c r="FP295" s="39"/>
      <c r="FQ295" s="22"/>
      <c r="FR295" s="22"/>
      <c r="FS295" s="22"/>
      <c r="FT295" s="22"/>
      <c r="FU295" s="40"/>
      <c r="FV295" s="19"/>
      <c r="FW295" s="19"/>
      <c r="FX295" s="19"/>
      <c r="FY295" s="19"/>
      <c r="FZ295" s="19"/>
      <c r="GA295" s="19"/>
      <c r="GB295" s="19"/>
      <c r="GC295" s="20"/>
      <c r="GD295" s="20"/>
      <c r="GE295" s="21"/>
      <c r="GF295" s="21"/>
      <c r="GG295" s="21"/>
      <c r="GH295" s="21"/>
      <c r="GI295" s="21"/>
      <c r="GJ295" s="21"/>
      <c r="GK295" s="21"/>
      <c r="GL295" s="21"/>
      <c r="GM295" s="19"/>
      <c r="GN295" s="19"/>
      <c r="GO295" s="22"/>
      <c r="GP295" s="22"/>
      <c r="GQ295" s="22"/>
      <c r="GR295" s="22"/>
      <c r="GS295" s="22"/>
      <c r="GT295" s="22"/>
      <c r="GU295" s="43"/>
      <c r="GV295" s="19"/>
      <c r="GW295" s="19"/>
      <c r="GX295" s="19"/>
      <c r="GY295" s="19"/>
      <c r="GZ295" s="23"/>
      <c r="HA295" s="22"/>
      <c r="HB295" s="22"/>
      <c r="HC295" s="22"/>
      <c r="HD295" s="22"/>
      <c r="HE295" s="22"/>
      <c r="HF295" s="22"/>
      <c r="HG295" s="233"/>
    </row>
    <row r="296" spans="2:215" ht="15.6" customHeight="1">
      <c r="B296" s="11"/>
      <c r="C296" s="161" t="s">
        <v>153</v>
      </c>
      <c r="D296" s="144"/>
      <c r="E296" s="144"/>
      <c r="F296" s="74"/>
      <c r="G296" s="74"/>
      <c r="H296" s="74"/>
      <c r="I296" s="144"/>
      <c r="J296" s="74"/>
      <c r="K296" s="74"/>
      <c r="L296" s="74"/>
      <c r="M296" s="144"/>
      <c r="N296" s="144"/>
      <c r="O296" s="74"/>
      <c r="P296" s="74"/>
      <c r="Q296" s="74"/>
      <c r="R296" s="144"/>
      <c r="S296" s="74"/>
      <c r="T296" s="74"/>
      <c r="U296" s="74"/>
      <c r="V296" s="130"/>
      <c r="W296" s="130"/>
      <c r="X296" s="22"/>
      <c r="Y296" s="130"/>
      <c r="Z296" s="22"/>
      <c r="AA296" s="130"/>
      <c r="AB296" s="22"/>
      <c r="AC296" s="130"/>
      <c r="AD296" s="130"/>
      <c r="AE296" s="22"/>
      <c r="AF296" s="22"/>
      <c r="AG296" s="22"/>
      <c r="AH296" s="52"/>
      <c r="AI296" s="52"/>
      <c r="AJ296" s="22"/>
      <c r="AK296" s="52"/>
      <c r="AL296" s="22"/>
      <c r="AM296" s="52"/>
      <c r="AN296" s="22"/>
      <c r="AO296" s="22"/>
      <c r="AP296" s="22"/>
      <c r="AQ296" s="22"/>
      <c r="AR296" s="22"/>
      <c r="AS296" s="22"/>
      <c r="AT296" s="22"/>
      <c r="AU296" s="22"/>
      <c r="AV296" s="77"/>
      <c r="AW296" s="77"/>
      <c r="AX296" s="78"/>
      <c r="AY296" s="22"/>
      <c r="AZ296" s="22"/>
      <c r="BA296" s="22"/>
      <c r="BB296" s="22"/>
      <c r="BC296" s="22"/>
      <c r="BD296" s="22"/>
      <c r="BE296" s="22"/>
      <c r="BF296" s="22"/>
      <c r="BG296" s="22"/>
      <c r="BH296" s="22"/>
      <c r="BI296" s="22"/>
      <c r="BJ296" s="40"/>
      <c r="BK296" s="19"/>
      <c r="BL296" s="19"/>
      <c r="BM296" s="19"/>
      <c r="BN296" s="19"/>
      <c r="BO296" s="19"/>
      <c r="BP296" s="19"/>
      <c r="BQ296" s="19"/>
      <c r="BR296" s="19"/>
      <c r="BS296" s="19"/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48"/>
      <c r="CF296" s="48"/>
      <c r="CG296" s="48"/>
      <c r="CH296" s="48"/>
      <c r="CI296" s="48"/>
      <c r="CJ296" s="48"/>
      <c r="CK296" s="48"/>
      <c r="CL296" s="48"/>
      <c r="CM296" s="48"/>
      <c r="CN296" s="48"/>
      <c r="CO296" s="48"/>
      <c r="CP296" s="48"/>
      <c r="CQ296" s="48"/>
      <c r="CR296" s="48"/>
      <c r="CS296" s="48"/>
      <c r="CT296" s="48"/>
      <c r="CU296" s="48"/>
      <c r="CV296" s="48"/>
      <c r="CW296" s="19"/>
      <c r="CX296" s="19"/>
      <c r="CY296" s="19"/>
      <c r="CZ296" s="19"/>
      <c r="DA296" s="21"/>
      <c r="DB296" s="21"/>
      <c r="DC296" s="79"/>
      <c r="DD296" s="79"/>
      <c r="DE296" s="79"/>
      <c r="DF296" s="79"/>
      <c r="DG296" s="79"/>
      <c r="DH296" s="51"/>
      <c r="DI296" s="39"/>
      <c r="DJ296" s="80"/>
      <c r="DK296" s="39"/>
      <c r="DL296" s="39"/>
      <c r="DM296" s="48"/>
      <c r="DN296" s="39"/>
      <c r="DO296" s="39"/>
      <c r="DP296" s="39"/>
      <c r="DQ296" s="39"/>
      <c r="DR296" s="39"/>
      <c r="DS296" s="39"/>
      <c r="DT296" s="39"/>
      <c r="DU296" s="19"/>
      <c r="DV296" s="40"/>
      <c r="DW296" s="40"/>
      <c r="DX296" s="46"/>
      <c r="DY296" s="21"/>
      <c r="DZ296" s="19"/>
      <c r="EA296" s="19"/>
      <c r="EB296" s="19"/>
      <c r="EC296" s="48"/>
      <c r="ED296" s="48"/>
      <c r="EE296" s="22"/>
      <c r="EF296" s="22"/>
      <c r="EG296" s="22"/>
      <c r="EH296" s="22"/>
      <c r="EI296" s="22"/>
      <c r="EJ296" s="22"/>
      <c r="EK296" s="40"/>
      <c r="EL296" s="19"/>
      <c r="EM296" s="19"/>
      <c r="EN296" s="40"/>
      <c r="EO296" s="40"/>
      <c r="EP296" s="40"/>
      <c r="EQ296" s="21"/>
      <c r="ER296" s="21"/>
      <c r="ES296" s="21"/>
      <c r="ET296" s="21"/>
      <c r="EU296" s="19"/>
      <c r="EV296" s="21"/>
      <c r="EW296" s="39"/>
      <c r="EX296" s="39"/>
      <c r="EY296" s="39"/>
      <c r="EZ296" s="39"/>
      <c r="FA296" s="39"/>
      <c r="FB296" s="39"/>
      <c r="FC296" s="39"/>
      <c r="FD296" s="39"/>
      <c r="FE296" s="39"/>
      <c r="FF296" s="39"/>
      <c r="FG296" s="39"/>
      <c r="FH296" s="39"/>
      <c r="FI296" s="39"/>
      <c r="FJ296" s="19"/>
      <c r="FK296" s="19"/>
      <c r="FL296" s="19"/>
      <c r="FM296" s="19"/>
      <c r="FN296" s="19"/>
      <c r="FO296" s="22">
        <v>9959.61</v>
      </c>
      <c r="FP296" s="52">
        <v>10382.51</v>
      </c>
      <c r="FQ296" s="22"/>
      <c r="FR296" s="22" t="s">
        <v>633</v>
      </c>
      <c r="FS296" s="22" t="s">
        <v>633</v>
      </c>
      <c r="FT296" s="22"/>
      <c r="FU296" s="40" t="s">
        <v>657</v>
      </c>
      <c r="FV296" s="19"/>
      <c r="FW296" s="19"/>
      <c r="FX296" s="19"/>
      <c r="FY296" s="19"/>
      <c r="FZ296" s="19"/>
      <c r="GA296" s="19"/>
      <c r="GB296" s="19"/>
      <c r="GC296" s="20"/>
      <c r="GD296" s="20"/>
      <c r="GE296" s="19"/>
      <c r="GF296" s="21"/>
      <c r="GG296" s="19"/>
      <c r="GH296" s="19"/>
      <c r="GI296" s="19"/>
      <c r="GJ296" s="21"/>
      <c r="GK296" s="19"/>
      <c r="GL296" s="19"/>
      <c r="GM296" s="19"/>
      <c r="GN296" s="19"/>
      <c r="GO296" s="22">
        <v>10382.51</v>
      </c>
      <c r="GP296" s="22">
        <v>10697.6</v>
      </c>
      <c r="GQ296" s="22"/>
      <c r="GR296" s="22" t="s">
        <v>633</v>
      </c>
      <c r="GS296" s="22" t="s">
        <v>633</v>
      </c>
      <c r="GT296" s="22"/>
      <c r="GU296" s="40" t="s">
        <v>657</v>
      </c>
      <c r="GV296" s="19"/>
      <c r="GW296" s="19"/>
      <c r="GX296" s="19"/>
      <c r="GY296" s="19"/>
      <c r="GZ296" s="23"/>
      <c r="HA296" s="22">
        <v>10697.6</v>
      </c>
      <c r="HB296" s="22">
        <v>11037.88</v>
      </c>
      <c r="HC296" s="22"/>
      <c r="HD296" s="52" t="s">
        <v>633</v>
      </c>
      <c r="HE296" s="22" t="s">
        <v>633</v>
      </c>
      <c r="HF296" s="22"/>
      <c r="HG296" s="236" t="s">
        <v>657</v>
      </c>
    </row>
    <row r="297" spans="2:215" ht="15.6" customHeight="1">
      <c r="B297" s="15"/>
      <c r="C297" s="81" t="s">
        <v>636</v>
      </c>
      <c r="D297" s="144"/>
      <c r="E297" s="144"/>
      <c r="F297" s="74"/>
      <c r="G297" s="74"/>
      <c r="H297" s="74"/>
      <c r="I297" s="144"/>
      <c r="J297" s="74"/>
      <c r="K297" s="74"/>
      <c r="L297" s="74"/>
      <c r="M297" s="144"/>
      <c r="N297" s="144"/>
      <c r="O297" s="74"/>
      <c r="P297" s="74"/>
      <c r="Q297" s="74"/>
      <c r="R297" s="144"/>
      <c r="S297" s="74"/>
      <c r="T297" s="74"/>
      <c r="U297" s="74"/>
      <c r="V297" s="130"/>
      <c r="W297" s="130"/>
      <c r="X297" s="22"/>
      <c r="Y297" s="130"/>
      <c r="Z297" s="22"/>
      <c r="AA297" s="130"/>
      <c r="AB297" s="22"/>
      <c r="AC297" s="130"/>
      <c r="AD297" s="130"/>
      <c r="AE297" s="22"/>
      <c r="AF297" s="22"/>
      <c r="AG297" s="22"/>
      <c r="AH297" s="52"/>
      <c r="AI297" s="52"/>
      <c r="AJ297" s="22"/>
      <c r="AK297" s="52"/>
      <c r="AL297" s="22"/>
      <c r="AM297" s="52"/>
      <c r="AN297" s="22"/>
      <c r="AO297" s="22"/>
      <c r="AP297" s="22"/>
      <c r="AQ297" s="22"/>
      <c r="AR297" s="22"/>
      <c r="AS297" s="22"/>
      <c r="AT297" s="22"/>
      <c r="AU297" s="22"/>
      <c r="AV297" s="77"/>
      <c r="AW297" s="77"/>
      <c r="AX297" s="78"/>
      <c r="AY297" s="22"/>
      <c r="AZ297" s="22"/>
      <c r="BA297" s="22"/>
      <c r="BB297" s="22"/>
      <c r="BC297" s="22"/>
      <c r="BD297" s="22"/>
      <c r="BE297" s="22"/>
      <c r="BF297" s="22"/>
      <c r="BG297" s="22"/>
      <c r="BH297" s="22"/>
      <c r="BI297" s="22"/>
      <c r="BJ297" s="40"/>
      <c r="BK297" s="19"/>
      <c r="BL297" s="19"/>
      <c r="BM297" s="19"/>
      <c r="BN297" s="19"/>
      <c r="BO297" s="19"/>
      <c r="BP297" s="19"/>
      <c r="BQ297" s="19"/>
      <c r="BR297" s="19"/>
      <c r="BS297" s="19"/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48"/>
      <c r="CF297" s="48"/>
      <c r="CG297" s="48"/>
      <c r="CH297" s="48"/>
      <c r="CI297" s="48"/>
      <c r="CJ297" s="48"/>
      <c r="CK297" s="48"/>
      <c r="CL297" s="48"/>
      <c r="CM297" s="48"/>
      <c r="CN297" s="48"/>
      <c r="CO297" s="48"/>
      <c r="CP297" s="48"/>
      <c r="CQ297" s="48"/>
      <c r="CR297" s="48"/>
      <c r="CS297" s="48"/>
      <c r="CT297" s="48"/>
      <c r="CU297" s="48"/>
      <c r="CV297" s="48"/>
      <c r="CW297" s="19"/>
      <c r="CX297" s="19"/>
      <c r="CY297" s="19"/>
      <c r="CZ297" s="19"/>
      <c r="DA297" s="21"/>
      <c r="DB297" s="21"/>
      <c r="DC297" s="79"/>
      <c r="DD297" s="79"/>
      <c r="DE297" s="79"/>
      <c r="DF297" s="79"/>
      <c r="DG297" s="79"/>
      <c r="DH297" s="51"/>
      <c r="DI297" s="39"/>
      <c r="DJ297" s="80"/>
      <c r="DK297" s="39"/>
      <c r="DL297" s="39"/>
      <c r="DM297" s="48"/>
      <c r="DN297" s="39"/>
      <c r="DO297" s="39"/>
      <c r="DP297" s="39"/>
      <c r="DQ297" s="39"/>
      <c r="DR297" s="39"/>
      <c r="DS297" s="39"/>
      <c r="DT297" s="39"/>
      <c r="DU297" s="19"/>
      <c r="DV297" s="40"/>
      <c r="DW297" s="40"/>
      <c r="DX297" s="46"/>
      <c r="DY297" s="21"/>
      <c r="DZ297" s="19"/>
      <c r="EA297" s="19"/>
      <c r="EB297" s="19"/>
      <c r="EC297" s="48"/>
      <c r="ED297" s="48"/>
      <c r="EE297" s="22"/>
      <c r="EF297" s="22"/>
      <c r="EG297" s="22"/>
      <c r="EH297" s="22"/>
      <c r="EI297" s="22"/>
      <c r="EJ297" s="22"/>
      <c r="EK297" s="40"/>
      <c r="EL297" s="19"/>
      <c r="EM297" s="19"/>
      <c r="EN297" s="40"/>
      <c r="EO297" s="40"/>
      <c r="EP297" s="40"/>
      <c r="EQ297" s="21"/>
      <c r="ER297" s="21"/>
      <c r="ES297" s="21"/>
      <c r="ET297" s="21"/>
      <c r="EU297" s="19"/>
      <c r="EV297" s="21"/>
      <c r="EW297" s="39"/>
      <c r="EX297" s="39"/>
      <c r="EY297" s="39"/>
      <c r="EZ297" s="39"/>
      <c r="FA297" s="39"/>
      <c r="FB297" s="39"/>
      <c r="FC297" s="39"/>
      <c r="FD297" s="39"/>
      <c r="FE297" s="39"/>
      <c r="FF297" s="39"/>
      <c r="FG297" s="39"/>
      <c r="FH297" s="39"/>
      <c r="FI297" s="39"/>
      <c r="FJ297" s="19"/>
      <c r="FK297" s="19"/>
      <c r="FL297" s="19"/>
      <c r="FM297" s="19"/>
      <c r="FN297" s="19"/>
      <c r="FO297" s="22"/>
      <c r="FP297" s="52"/>
      <c r="FQ297" s="22"/>
      <c r="FR297" s="22"/>
      <c r="FS297" s="22"/>
      <c r="FT297" s="22"/>
      <c r="FU297" s="40"/>
      <c r="FV297" s="19"/>
      <c r="FW297" s="19"/>
      <c r="FX297" s="19"/>
      <c r="FY297" s="19"/>
      <c r="FZ297" s="19"/>
      <c r="GA297" s="19"/>
      <c r="GB297" s="19"/>
      <c r="GC297" s="20"/>
      <c r="GD297" s="20"/>
      <c r="GE297" s="21"/>
      <c r="GF297" s="21"/>
      <c r="GG297" s="21"/>
      <c r="GH297" s="21"/>
      <c r="GI297" s="21"/>
      <c r="GJ297" s="21"/>
      <c r="GK297" s="21"/>
      <c r="GL297" s="21"/>
      <c r="GM297" s="19"/>
      <c r="GN297" s="19"/>
      <c r="GO297" s="22"/>
      <c r="GP297" s="22"/>
      <c r="GQ297" s="22"/>
      <c r="GR297" s="22"/>
      <c r="GS297" s="22"/>
      <c r="GT297" s="22"/>
      <c r="GU297" s="43"/>
      <c r="GV297" s="19"/>
      <c r="GW297" s="19"/>
      <c r="GX297" s="19"/>
      <c r="GY297" s="19"/>
      <c r="GZ297" s="23"/>
      <c r="HA297" s="22"/>
      <c r="HB297" s="22"/>
      <c r="HC297" s="22"/>
      <c r="HD297" s="22"/>
      <c r="HE297" s="22"/>
      <c r="HF297" s="22"/>
      <c r="HG297" s="233"/>
    </row>
    <row r="298" spans="2:215" ht="16.149999999999999" customHeight="1" thickBot="1">
      <c r="B298" s="15"/>
      <c r="C298" s="161" t="s">
        <v>641</v>
      </c>
      <c r="D298" s="82"/>
      <c r="E298" s="82"/>
      <c r="F298" s="74"/>
      <c r="G298" s="74"/>
      <c r="H298" s="74"/>
      <c r="I298" s="82"/>
      <c r="J298" s="82"/>
      <c r="K298" s="82"/>
      <c r="L298" s="82"/>
      <c r="M298" s="82"/>
      <c r="N298" s="82"/>
      <c r="O298" s="76"/>
      <c r="P298" s="76"/>
      <c r="Q298" s="76"/>
      <c r="R298" s="82"/>
      <c r="S298" s="82"/>
      <c r="T298" s="82"/>
      <c r="U298" s="82"/>
      <c r="V298" s="52"/>
      <c r="W298" s="52"/>
      <c r="X298" s="52"/>
      <c r="Y298" s="52"/>
      <c r="Z298" s="22"/>
      <c r="AA298" s="52"/>
      <c r="AB298" s="22"/>
      <c r="AC298" s="22"/>
      <c r="AD298" s="22"/>
      <c r="AE298" s="22"/>
      <c r="AF298" s="22"/>
      <c r="AG298" s="22"/>
      <c r="AH298" s="22"/>
      <c r="AI298" s="22"/>
      <c r="AJ298" s="52"/>
      <c r="AK298" s="22"/>
      <c r="AL298" s="22"/>
      <c r="AM298" s="22"/>
      <c r="AN298" s="22"/>
      <c r="AO298" s="22"/>
      <c r="AP298" s="22"/>
      <c r="AQ298" s="22"/>
      <c r="AR298" s="22"/>
      <c r="AS298" s="22"/>
      <c r="AT298" s="22"/>
      <c r="AU298" s="22"/>
      <c r="AV298" s="77"/>
      <c r="AW298" s="77"/>
      <c r="AX298" s="78"/>
      <c r="AY298" s="22"/>
      <c r="AZ298" s="22"/>
      <c r="BA298" s="22"/>
      <c r="BB298" s="22"/>
      <c r="BC298" s="22"/>
      <c r="BD298" s="22"/>
      <c r="BE298" s="22"/>
      <c r="BF298" s="22"/>
      <c r="BG298" s="22"/>
      <c r="BH298" s="22"/>
      <c r="BI298" s="22"/>
      <c r="BJ298" s="40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48"/>
      <c r="CF298" s="48"/>
      <c r="CG298" s="48"/>
      <c r="CH298" s="48"/>
      <c r="CI298" s="48"/>
      <c r="CJ298" s="48"/>
      <c r="CK298" s="48"/>
      <c r="CL298" s="48"/>
      <c r="CM298" s="48"/>
      <c r="CN298" s="48"/>
      <c r="CO298" s="48"/>
      <c r="CP298" s="48"/>
      <c r="CQ298" s="48"/>
      <c r="CR298" s="48"/>
      <c r="CS298" s="48"/>
      <c r="CT298" s="48"/>
      <c r="CU298" s="48"/>
      <c r="CV298" s="48"/>
      <c r="CW298" s="19"/>
      <c r="CX298" s="19"/>
      <c r="CY298" s="19"/>
      <c r="CZ298" s="19"/>
      <c r="DA298" s="21"/>
      <c r="DB298" s="21"/>
      <c r="DC298" s="79"/>
      <c r="DD298" s="79"/>
      <c r="DE298" s="79"/>
      <c r="DF298" s="79"/>
      <c r="DG298" s="79"/>
      <c r="DH298" s="51"/>
      <c r="DI298" s="39"/>
      <c r="DJ298" s="80"/>
      <c r="DK298" s="39"/>
      <c r="DL298" s="39"/>
      <c r="DM298" s="48"/>
      <c r="DN298" s="39"/>
      <c r="DO298" s="39"/>
      <c r="DP298" s="39"/>
      <c r="DQ298" s="39"/>
      <c r="DR298" s="39"/>
      <c r="DS298" s="39"/>
      <c r="DT298" s="39"/>
      <c r="DU298" s="19"/>
      <c r="DV298" s="40"/>
      <c r="DW298" s="40"/>
      <c r="DX298" s="21"/>
      <c r="DY298" s="21"/>
      <c r="DZ298" s="19"/>
      <c r="EA298" s="19"/>
      <c r="EB298" s="19"/>
      <c r="EC298" s="48"/>
      <c r="ED298" s="48"/>
      <c r="EE298" s="22"/>
      <c r="EF298" s="22"/>
      <c r="EG298" s="22"/>
      <c r="EH298" s="22"/>
      <c r="EI298" s="22"/>
      <c r="EJ298" s="22"/>
      <c r="EK298" s="83"/>
      <c r="EL298" s="19"/>
      <c r="EM298" s="19"/>
      <c r="EN298" s="146"/>
      <c r="EO298" s="146"/>
      <c r="EP298" s="146"/>
      <c r="EQ298" s="21"/>
      <c r="ER298" s="21"/>
      <c r="ES298" s="19"/>
      <c r="ET298" s="19"/>
      <c r="EU298" s="19"/>
      <c r="EV298" s="21"/>
      <c r="EW298" s="39"/>
      <c r="EX298" s="39"/>
      <c r="EY298" s="39"/>
      <c r="EZ298" s="39"/>
      <c r="FA298" s="39"/>
      <c r="FB298" s="39"/>
      <c r="FC298" s="39"/>
      <c r="FD298" s="39"/>
      <c r="FE298" s="39"/>
      <c r="FF298" s="39"/>
      <c r="FG298" s="39"/>
      <c r="FH298" s="39"/>
      <c r="FI298" s="39"/>
      <c r="FJ298" s="19"/>
      <c r="FK298" s="19"/>
      <c r="FL298" s="19"/>
      <c r="FM298" s="19"/>
      <c r="FN298" s="19"/>
      <c r="FO298" s="22">
        <v>266.52999999999997</v>
      </c>
      <c r="FP298" s="22">
        <v>273.74</v>
      </c>
      <c r="FQ298" s="22"/>
      <c r="FR298" s="22">
        <v>266.52999999999997</v>
      </c>
      <c r="FS298" s="22">
        <v>273.74</v>
      </c>
      <c r="FT298" s="22"/>
      <c r="FU298" s="83" t="s">
        <v>627</v>
      </c>
      <c r="FV298" s="19"/>
      <c r="FW298" s="19"/>
      <c r="FX298" s="19"/>
      <c r="FY298" s="19"/>
      <c r="FZ298" s="19"/>
      <c r="GA298" s="19"/>
      <c r="GB298" s="19"/>
      <c r="GC298" s="20"/>
      <c r="GD298" s="20"/>
      <c r="GE298" s="19"/>
      <c r="GF298" s="21"/>
      <c r="GG298" s="19"/>
      <c r="GH298" s="19"/>
      <c r="GI298" s="19"/>
      <c r="GJ298" s="21"/>
      <c r="GK298" s="19"/>
      <c r="GL298" s="19"/>
      <c r="GM298" s="19"/>
      <c r="GN298" s="19"/>
      <c r="GO298" s="57">
        <v>273.74</v>
      </c>
      <c r="GP298" s="57">
        <v>539.78</v>
      </c>
      <c r="GQ298" s="57"/>
      <c r="GR298" s="57">
        <v>273.74</v>
      </c>
      <c r="GS298" s="57">
        <v>539.78</v>
      </c>
      <c r="GT298" s="57"/>
      <c r="GU298" s="83" t="s">
        <v>627</v>
      </c>
      <c r="GV298" s="19"/>
      <c r="GW298" s="19"/>
      <c r="GX298" s="19"/>
      <c r="GY298" s="19"/>
      <c r="GZ298" s="19"/>
      <c r="HA298" s="22">
        <v>539.78</v>
      </c>
      <c r="HB298" s="22">
        <v>539.12</v>
      </c>
      <c r="HC298" s="22"/>
      <c r="HD298" s="22">
        <v>539.78</v>
      </c>
      <c r="HE298" s="22">
        <v>539.12</v>
      </c>
      <c r="HF298" s="22"/>
      <c r="HG298" s="235" t="s">
        <v>627</v>
      </c>
    </row>
    <row r="299" spans="2:215" ht="16.5" thickBot="1">
      <c r="B299" s="7" t="s">
        <v>122</v>
      </c>
      <c r="C299" s="80" t="s">
        <v>435</v>
      </c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>
        <f t="shared" ref="X299:X325" si="1198">+IF(V299=0,,W299/V299*100)</f>
        <v>0</v>
      </c>
      <c r="Y299" s="80"/>
      <c r="Z299" s="80">
        <f t="shared" si="1192"/>
        <v>0</v>
      </c>
      <c r="AA299" s="80"/>
      <c r="AB299" s="80">
        <f t="shared" si="1193"/>
        <v>0</v>
      </c>
      <c r="AC299" s="80">
        <f>+AD303*1.18</f>
        <v>100.68939999999999</v>
      </c>
      <c r="AD299" s="80"/>
      <c r="AE299" s="80">
        <f t="shared" si="1185"/>
        <v>0</v>
      </c>
      <c r="AF299" s="80"/>
      <c r="AG299" s="80">
        <f>+IF(AC299=0,,AF299/AC299*100)</f>
        <v>0</v>
      </c>
      <c r="AH299" s="80"/>
      <c r="AI299" s="80"/>
      <c r="AJ299" s="80">
        <f t="shared" si="1194"/>
        <v>0</v>
      </c>
      <c r="AK299" s="80"/>
      <c r="AL299" s="80">
        <f t="shared" si="1195"/>
        <v>0</v>
      </c>
      <c r="AM299" s="80"/>
      <c r="AN299" s="80">
        <f t="shared" si="1196"/>
        <v>0</v>
      </c>
      <c r="AO299" s="80">
        <f t="shared" ref="AO299:AO325" si="1199">+IF(V299=0,,AA299/V299*100)</f>
        <v>0</v>
      </c>
      <c r="AP299" s="80">
        <f t="shared" si="1197"/>
        <v>0</v>
      </c>
      <c r="AQ299" s="80"/>
      <c r="AR299" s="80"/>
      <c r="AS299" s="80">
        <f t="shared" si="1186"/>
        <v>0</v>
      </c>
      <c r="AT299" s="80"/>
      <c r="AU299" s="80">
        <f>+IF(AQ299=0,,AT299/AQ299*100)</f>
        <v>0</v>
      </c>
      <c r="AV299" s="77"/>
      <c r="AW299" s="77" t="e">
        <f>+CY299/$CY$299*100</f>
        <v>#DIV/0!</v>
      </c>
      <c r="AX299" s="78"/>
      <c r="AY299" s="80">
        <f t="shared" si="1114"/>
        <v>0</v>
      </c>
      <c r="AZ299" s="80"/>
      <c r="BA299" s="80"/>
      <c r="BB299" s="80"/>
      <c r="BC299" s="80"/>
      <c r="BD299" s="80"/>
      <c r="BE299" s="22">
        <f t="shared" si="1115"/>
        <v>0</v>
      </c>
      <c r="BF299" s="80"/>
      <c r="BG299" s="80"/>
      <c r="BH299" s="22">
        <f t="shared" si="1116"/>
        <v>0</v>
      </c>
      <c r="BI299" s="22"/>
      <c r="BJ299" s="40"/>
      <c r="BK299" s="80">
        <f t="shared" si="1140"/>
        <v>0</v>
      </c>
      <c r="BL299" s="80">
        <f t="shared" ref="BL299:BL334" si="1200">+E299*AI299/1.18/1000</f>
        <v>0</v>
      </c>
      <c r="BM299" s="80">
        <f t="shared" ref="BM299:BM334" si="1201">+(W299-ROUND(AI299/1.18,2))*E299/1000</f>
        <v>0</v>
      </c>
      <c r="BN299" s="80">
        <f t="shared" ref="BN299:BN334" si="1202">+W299*I299/1000</f>
        <v>0</v>
      </c>
      <c r="BO299" s="80">
        <f t="shared" si="1144"/>
        <v>0</v>
      </c>
      <c r="BP299" s="80">
        <f t="shared" ref="BP299:BP334" si="1203">+AK299/1.18*E299/1000</f>
        <v>0</v>
      </c>
      <c r="BQ299" s="80">
        <f t="shared" ref="BQ299:BQ334" si="1204">+(Y299-ROUND(AK299/1.18,2))*E299/1000</f>
        <v>0</v>
      </c>
      <c r="BR299" s="80">
        <f t="shared" ref="BR299:BR334" si="1205">+Y299*I299/1000</f>
        <v>0</v>
      </c>
      <c r="BS299" s="80">
        <f t="shared" si="1147"/>
        <v>0</v>
      </c>
      <c r="BT299" s="80">
        <f t="shared" ref="BT299:BT334" si="1206">+AM299/1.18*E299/1000</f>
        <v>0</v>
      </c>
      <c r="BU299" s="80">
        <f t="shared" ref="BU299:BU334" si="1207">+(AA299-ROUND(AM299/1.18,2))*E299/1000</f>
        <v>0</v>
      </c>
      <c r="BV299" s="80">
        <f t="shared" ref="BV299:BV334" si="1208">+AA299*I299/1000</f>
        <v>0</v>
      </c>
      <c r="BW299" s="80"/>
      <c r="BX299" s="48">
        <f>+SUM(BX300:BX310)</f>
        <v>0</v>
      </c>
      <c r="BY299" s="48">
        <f>+SUM(BY300:BY310)</f>
        <v>0</v>
      </c>
      <c r="BZ299" s="80">
        <f>+AC299*R299/1000</f>
        <v>0</v>
      </c>
      <c r="CA299" s="80"/>
      <c r="CB299" s="48">
        <f>+SUM(CB300:CB310)</f>
        <v>0</v>
      </c>
      <c r="CC299" s="48">
        <f>+SUM(CC300:CC310)</f>
        <v>0</v>
      </c>
      <c r="CD299" s="80">
        <f t="shared" si="1088"/>
        <v>0</v>
      </c>
      <c r="CE299" s="80">
        <f t="shared" si="1157"/>
        <v>0</v>
      </c>
      <c r="CF299" s="80">
        <f t="shared" si="1158"/>
        <v>0</v>
      </c>
      <c r="CG299" s="80">
        <f t="shared" si="1159"/>
        <v>0</v>
      </c>
      <c r="CH299" s="80">
        <f t="shared" si="1160"/>
        <v>0</v>
      </c>
      <c r="CI299" s="80">
        <f t="shared" si="1161"/>
        <v>0</v>
      </c>
      <c r="CJ299" s="80">
        <f t="shared" si="1162"/>
        <v>0</v>
      </c>
      <c r="CK299" s="80">
        <f t="shared" si="1163"/>
        <v>0</v>
      </c>
      <c r="CL299" s="80">
        <f t="shared" si="1164"/>
        <v>0</v>
      </c>
      <c r="CM299" s="80">
        <f t="shared" si="1165"/>
        <v>0</v>
      </c>
      <c r="CN299" s="80">
        <f t="shared" si="1106"/>
        <v>0</v>
      </c>
      <c r="CO299" s="80">
        <f t="shared" si="1166"/>
        <v>0</v>
      </c>
      <c r="CP299" s="80">
        <f t="shared" si="1167"/>
        <v>0</v>
      </c>
      <c r="CQ299" s="80">
        <f t="shared" si="1168"/>
        <v>0</v>
      </c>
      <c r="CR299" s="80">
        <f t="shared" si="1169"/>
        <v>0</v>
      </c>
      <c r="CS299" s="80">
        <f t="shared" si="1170"/>
        <v>0</v>
      </c>
      <c r="CT299" s="80">
        <f t="shared" si="1171"/>
        <v>0</v>
      </c>
      <c r="CU299" s="80">
        <f t="shared" si="1107"/>
        <v>0</v>
      </c>
      <c r="CV299" s="80">
        <f t="shared" si="1172"/>
        <v>0</v>
      </c>
      <c r="CW299" s="48">
        <f>+SUM(CW300:CW310)</f>
        <v>0</v>
      </c>
      <c r="CX299" s="48">
        <f>+SUM(CX300:CX310)</f>
        <v>0</v>
      </c>
      <c r="CY299" s="48">
        <f>+SUM(CY300:CY310)</f>
        <v>0</v>
      </c>
      <c r="CZ299" s="48">
        <f>+SUM(CZ300:CZ310)</f>
        <v>0</v>
      </c>
      <c r="DA299" s="20">
        <f t="shared" si="1093"/>
        <v>0</v>
      </c>
      <c r="DB299" s="20">
        <f t="shared" si="1094"/>
        <v>0</v>
      </c>
      <c r="DC299" s="20">
        <f t="shared" si="1177"/>
        <v>0</v>
      </c>
      <c r="DD299" s="20">
        <f t="shared" si="1177"/>
        <v>0</v>
      </c>
      <c r="DE299" s="79">
        <f t="shared" ref="DE299:DF299" si="1209">+(O299+S299)*AC299/1000</f>
        <v>0</v>
      </c>
      <c r="DF299" s="79">
        <f t="shared" si="1209"/>
        <v>0</v>
      </c>
      <c r="DG299" s="79">
        <f t="shared" si="1096"/>
        <v>0</v>
      </c>
      <c r="DH299" s="51">
        <f t="shared" si="1097"/>
        <v>0</v>
      </c>
      <c r="DI299" s="39"/>
      <c r="DJ299" s="80">
        <f t="shared" si="1179"/>
        <v>0</v>
      </c>
      <c r="DK299" s="39">
        <f t="shared" si="1180"/>
        <v>0</v>
      </c>
      <c r="DL299" s="39">
        <f t="shared" si="1181"/>
        <v>0</v>
      </c>
      <c r="DM299" s="48">
        <f>+AT299-'[2]тарифы (12-13) население 15%'!AP375</f>
        <v>0</v>
      </c>
      <c r="DN299" s="39"/>
      <c r="DO299" s="39"/>
      <c r="DP299" s="39"/>
      <c r="DQ299" s="39"/>
      <c r="DR299" s="39"/>
      <c r="DS299" s="39"/>
      <c r="DT299" s="39"/>
      <c r="DU299" s="19">
        <f t="shared" si="1117"/>
        <v>0</v>
      </c>
      <c r="DV299" s="42">
        <f>+SUM('2019-2021'!DV300:DV310)</f>
        <v>8149.3895146610166</v>
      </c>
      <c r="DW299" s="42">
        <f>+SUM('2019-2021'!DW300:DW310)</f>
        <v>11423.124736199999</v>
      </c>
      <c r="DX299" s="42">
        <f>+'[1]тарифы (НВВ) население на 4,2%'!CO389</f>
        <v>76.251934697992837</v>
      </c>
      <c r="DY299" s="42">
        <f t="shared" si="1120"/>
        <v>71.341158420826105</v>
      </c>
      <c r="DZ299" s="19">
        <f t="shared" si="1121"/>
        <v>0</v>
      </c>
      <c r="EA299" s="19">
        <f t="shared" si="1122"/>
        <v>0</v>
      </c>
      <c r="EB299" s="19"/>
      <c r="EC299" s="22">
        <f>+SUM('2019-2021'!EC300:EC310)</f>
        <v>3458.4978003355932</v>
      </c>
      <c r="ED299" s="42">
        <f>+SUM('2019-2021'!ED300:ED310)</f>
        <v>3273.7352215389838</v>
      </c>
      <c r="EE299" s="80"/>
      <c r="EF299" s="80"/>
      <c r="EG299" s="22">
        <f t="shared" si="1125"/>
        <v>0</v>
      </c>
      <c r="EH299" s="80"/>
      <c r="EI299" s="80"/>
      <c r="EJ299" s="22">
        <f t="shared" si="1126"/>
        <v>0</v>
      </c>
      <c r="EK299" s="40"/>
      <c r="EL299" s="40"/>
      <c r="EM299" s="40"/>
      <c r="EN299" s="146">
        <f>+SUM(EN300:EN310)</f>
        <v>8079.8269130508479</v>
      </c>
      <c r="EO299" s="146">
        <f>+SUM(EO300:EO310)</f>
        <v>10940.1113274</v>
      </c>
      <c r="EP299" s="146" t="e">
        <f>+$EN$442/$EN$445*EN299</f>
        <v>#REF!</v>
      </c>
      <c r="EQ299" s="42">
        <f t="shared" ref="EQ299:EQ334" si="1210">+IF(EO299=0,,EN299/EO299*100)</f>
        <v>73.855070311894906</v>
      </c>
      <c r="ER299" s="42" t="e">
        <f>+IF((EN299+EP299)=0,,(EN299+EP299)/(EO299+EP299))*100</f>
        <v>#REF!</v>
      </c>
      <c r="ES299" s="42"/>
      <c r="ET299" s="42"/>
      <c r="EU299" s="19">
        <f t="shared" si="1102"/>
        <v>0</v>
      </c>
      <c r="EV299" s="42"/>
      <c r="EW299" s="39"/>
      <c r="EX299" s="39">
        <f t="shared" si="1190"/>
        <v>0</v>
      </c>
      <c r="EY299" s="39">
        <f t="shared" si="1191"/>
        <v>0</v>
      </c>
      <c r="EZ299" s="39"/>
      <c r="FA299" s="39"/>
      <c r="FB299" s="39"/>
      <c r="FC299" s="39"/>
      <c r="FD299" s="39"/>
      <c r="FE299" s="39"/>
      <c r="FF299" s="39"/>
      <c r="FG299" s="39"/>
      <c r="FH299" s="39"/>
      <c r="FI299" s="39"/>
      <c r="FJ299" s="41">
        <f>+SUM(FJ300:FJ310)</f>
        <v>3067.901265857628</v>
      </c>
      <c r="FK299" s="41">
        <f>+SUM(FK300:FK310)</f>
        <v>2860.2844143491525</v>
      </c>
      <c r="FL299" s="41">
        <f t="shared" ref="FL299:FL334" si="1211">+FJ299+FK299</f>
        <v>5928.1856802067805</v>
      </c>
      <c r="FM299" s="40"/>
      <c r="FN299" s="40"/>
      <c r="FO299" s="80">
        <f t="shared" ref="FO299:FO313" si="1212">+EF299</f>
        <v>0</v>
      </c>
      <c r="FP299" s="80"/>
      <c r="FQ299" s="22"/>
      <c r="FR299" s="80">
        <f t="shared" ref="FR299:FR334" si="1213">+EI299</f>
        <v>0</v>
      </c>
      <c r="FS299" s="80"/>
      <c r="FT299" s="22"/>
      <c r="FU299" s="40"/>
      <c r="FV299" s="41">
        <f t="shared" ref="FV299:GB299" si="1214">+SUM(FV300:FV310)</f>
        <v>0</v>
      </c>
      <c r="FW299" s="41">
        <f t="shared" si="1214"/>
        <v>0</v>
      </c>
      <c r="FX299" s="41">
        <f t="shared" si="1214"/>
        <v>0</v>
      </c>
      <c r="FY299" s="41">
        <f t="shared" si="1214"/>
        <v>0</v>
      </c>
      <c r="FZ299" s="41">
        <f t="shared" si="1214"/>
        <v>0</v>
      </c>
      <c r="GA299" s="41">
        <f t="shared" si="1214"/>
        <v>0</v>
      </c>
      <c r="GB299" s="41">
        <f t="shared" si="1214"/>
        <v>0</v>
      </c>
      <c r="GC299" s="20">
        <f t="shared" ref="GC299:GC313" si="1215">+IF(FZ299=0,,FY299/FZ299*100)</f>
        <v>0</v>
      </c>
      <c r="GD299" s="20">
        <f t="shared" ref="GD299:GD313" si="1216">+IF(GB299=0,,GA299/GB299*100)</f>
        <v>0</v>
      </c>
      <c r="GE299" s="42"/>
      <c r="GF299" s="42"/>
      <c r="GG299" s="42"/>
      <c r="GH299" s="42"/>
      <c r="GI299" s="42"/>
      <c r="GJ299" s="42"/>
      <c r="GK299" s="42"/>
      <c r="GL299" s="42"/>
      <c r="GM299" s="40"/>
      <c r="GN299" s="40"/>
      <c r="GO299" s="80"/>
      <c r="GP299" s="80"/>
      <c r="GQ299" s="22"/>
      <c r="GR299" s="80"/>
      <c r="GS299" s="80"/>
      <c r="GT299" s="22"/>
      <c r="GU299" s="43"/>
      <c r="GV299" s="41"/>
      <c r="GW299" s="41"/>
      <c r="GX299" s="145">
        <f>+SUM(GX300:GX310)</f>
        <v>0</v>
      </c>
      <c r="GY299" s="145">
        <f>+SUM(GY300:GY310)</f>
        <v>0</v>
      </c>
      <c r="GZ299" s="44">
        <f>+IF(GY299=0,,GX299/GY299*100)</f>
        <v>0</v>
      </c>
      <c r="HA299" s="80"/>
      <c r="HB299" s="80"/>
      <c r="HC299" s="22"/>
      <c r="HD299" s="80"/>
      <c r="HE299" s="80"/>
      <c r="HF299" s="22"/>
      <c r="HG299" s="233"/>
    </row>
    <row r="300" spans="2:215" ht="15.75">
      <c r="B300" s="10" t="s">
        <v>436</v>
      </c>
      <c r="C300" s="81" t="s">
        <v>152</v>
      </c>
      <c r="D300" s="73"/>
      <c r="E300" s="73"/>
      <c r="F300" s="74"/>
      <c r="G300" s="74"/>
      <c r="H300" s="74"/>
      <c r="I300" s="73"/>
      <c r="J300" s="74"/>
      <c r="K300" s="74"/>
      <c r="L300" s="74"/>
      <c r="M300" s="191"/>
      <c r="N300" s="191"/>
      <c r="O300" s="74"/>
      <c r="P300" s="74"/>
      <c r="Q300" s="74"/>
      <c r="R300" s="191"/>
      <c r="S300" s="74"/>
      <c r="T300" s="74"/>
      <c r="U300" s="74"/>
      <c r="V300" s="52"/>
      <c r="W300" s="52"/>
      <c r="X300" s="52"/>
      <c r="Y300" s="52"/>
      <c r="Z300" s="22"/>
      <c r="AA300" s="52"/>
      <c r="AB300" s="22"/>
      <c r="AC300" s="52"/>
      <c r="AD300" s="22"/>
      <c r="AE300" s="22"/>
      <c r="AF300" s="22"/>
      <c r="AG300" s="22">
        <f t="shared" si="1112"/>
        <v>0</v>
      </c>
      <c r="AH300" s="52"/>
      <c r="AI300" s="52"/>
      <c r="AJ300" s="52"/>
      <c r="AK300" s="52"/>
      <c r="AL300" s="22"/>
      <c r="AM300" s="52"/>
      <c r="AN300" s="22"/>
      <c r="AO300" s="22"/>
      <c r="AP300" s="22"/>
      <c r="AQ300" s="22"/>
      <c r="AR300" s="22"/>
      <c r="AS300" s="22"/>
      <c r="AT300" s="22"/>
      <c r="AU300" s="22">
        <f t="shared" si="1113"/>
        <v>0</v>
      </c>
      <c r="AV300" s="77"/>
      <c r="AW300" s="77"/>
      <c r="AX300" s="78"/>
      <c r="AY300" s="22">
        <f t="shared" si="1114"/>
        <v>0</v>
      </c>
      <c r="AZ300" s="22"/>
      <c r="BA300" s="22"/>
      <c r="BB300" s="22"/>
      <c r="BC300" s="22"/>
      <c r="BD300" s="22"/>
      <c r="BE300" s="22">
        <f t="shared" si="1115"/>
        <v>0</v>
      </c>
      <c r="BF300" s="22"/>
      <c r="BG300" s="22"/>
      <c r="BH300" s="22">
        <f t="shared" si="1116"/>
        <v>0</v>
      </c>
      <c r="BI300" s="22"/>
      <c r="BJ300" s="40"/>
      <c r="BK300" s="19"/>
      <c r="BL300" s="19"/>
      <c r="BM300" s="19"/>
      <c r="BN300" s="19"/>
      <c r="BO300" s="19"/>
      <c r="BP300" s="19"/>
      <c r="BQ300" s="19"/>
      <c r="BR300" s="19"/>
      <c r="BS300" s="19"/>
      <c r="BT300" s="19"/>
      <c r="BU300" s="19"/>
      <c r="BV300" s="19"/>
      <c r="BW300" s="19"/>
      <c r="BX300" s="19"/>
      <c r="BY300" s="19"/>
      <c r="BZ300" s="19"/>
      <c r="CA300" s="19"/>
      <c r="CB300" s="19"/>
      <c r="CC300" s="19"/>
      <c r="CD300" s="19"/>
      <c r="CE300" s="48"/>
      <c r="CF300" s="48"/>
      <c r="CG300" s="48"/>
      <c r="CH300" s="48"/>
      <c r="CI300" s="48"/>
      <c r="CJ300" s="48"/>
      <c r="CK300" s="48"/>
      <c r="CL300" s="48"/>
      <c r="CM300" s="48"/>
      <c r="CN300" s="48"/>
      <c r="CO300" s="48"/>
      <c r="CP300" s="48"/>
      <c r="CQ300" s="48"/>
      <c r="CR300" s="48"/>
      <c r="CS300" s="48"/>
      <c r="CT300" s="48"/>
      <c r="CU300" s="48"/>
      <c r="CV300" s="48"/>
      <c r="CW300" s="19"/>
      <c r="CX300" s="19"/>
      <c r="CY300" s="19"/>
      <c r="CZ300" s="19"/>
      <c r="DA300" s="21"/>
      <c r="DB300" s="21"/>
      <c r="DC300" s="79"/>
      <c r="DD300" s="79"/>
      <c r="DE300" s="79"/>
      <c r="DF300" s="79"/>
      <c r="DG300" s="79"/>
      <c r="DH300" s="51"/>
      <c r="DI300" s="39"/>
      <c r="DJ300" s="80"/>
      <c r="DK300" s="39"/>
      <c r="DL300" s="39"/>
      <c r="DM300" s="48"/>
      <c r="DN300" s="39"/>
      <c r="DO300" s="39"/>
      <c r="DP300" s="39"/>
      <c r="DQ300" s="39"/>
      <c r="DR300" s="39"/>
      <c r="DS300" s="39"/>
      <c r="DT300" s="39"/>
      <c r="DU300" s="19">
        <f t="shared" si="1117"/>
        <v>0</v>
      </c>
      <c r="DV300" s="40">
        <f t="shared" si="1118"/>
        <v>0</v>
      </c>
      <c r="DW300" s="40">
        <f t="shared" si="1119"/>
        <v>0</v>
      </c>
      <c r="DX300" s="46"/>
      <c r="DY300" s="21">
        <f t="shared" si="1120"/>
        <v>0</v>
      </c>
      <c r="DZ300" s="19">
        <f t="shared" si="1121"/>
        <v>0</v>
      </c>
      <c r="EA300" s="19">
        <f t="shared" si="1122"/>
        <v>0</v>
      </c>
      <c r="EB300" s="19"/>
      <c r="EC300" s="48">
        <f t="shared" ref="EC300:EC302" si="1217">+(BC300-BF300/1.18)*AZ300/2</f>
        <v>0</v>
      </c>
      <c r="ED300" s="48">
        <f t="shared" ref="ED300:ED302" si="1218">+(BD300-BG300/1.18)*AZ300/2</f>
        <v>0</v>
      </c>
      <c r="EE300" s="22"/>
      <c r="EF300" s="22"/>
      <c r="EG300" s="22">
        <f t="shared" si="1125"/>
        <v>0</v>
      </c>
      <c r="EH300" s="22"/>
      <c r="EI300" s="22"/>
      <c r="EJ300" s="22">
        <f t="shared" si="1126"/>
        <v>0</v>
      </c>
      <c r="EK300" s="40"/>
      <c r="EL300" s="19"/>
      <c r="EM300" s="19"/>
      <c r="EN300" s="40">
        <f t="shared" ref="EN300:EN326" si="1219">+(EI300*EM300)/1.18</f>
        <v>0</v>
      </c>
      <c r="EO300" s="40">
        <f t="shared" ref="EO300:EO326" si="1220">+EF300*EM300</f>
        <v>0</v>
      </c>
      <c r="EP300" s="40"/>
      <c r="EQ300" s="21">
        <f t="shared" si="1210"/>
        <v>0</v>
      </c>
      <c r="ER300" s="21"/>
      <c r="ES300" s="21">
        <f t="shared" ref="ES300:ES304" si="1221">+EL300*EE300</f>
        <v>0</v>
      </c>
      <c r="ET300" s="21"/>
      <c r="EU300" s="19">
        <f t="shared" ref="EU300:EU334" si="1222">+EF300*EL300</f>
        <v>0</v>
      </c>
      <c r="EV300" s="21"/>
      <c r="EW300" s="39"/>
      <c r="EX300" s="39">
        <f t="shared" si="1190"/>
        <v>0</v>
      </c>
      <c r="EY300" s="39">
        <f t="shared" si="1191"/>
        <v>0</v>
      </c>
      <c r="EZ300" s="39"/>
      <c r="FA300" s="39"/>
      <c r="FB300" s="39"/>
      <c r="FC300" s="39"/>
      <c r="FD300" s="39"/>
      <c r="FE300" s="39"/>
      <c r="FF300" s="39"/>
      <c r="FG300" s="39"/>
      <c r="FH300" s="39"/>
      <c r="FI300" s="39"/>
      <c r="FJ300" s="19">
        <f t="shared" ref="FJ300:FJ324" si="1223">+(EE300-EH300/1.18)*EM300</f>
        <v>0</v>
      </c>
      <c r="FK300" s="19">
        <f t="shared" ref="FK300:FK324" si="1224">+(EF300-EI300/1.18)*EM300</f>
        <v>0</v>
      </c>
      <c r="FL300" s="19">
        <f t="shared" si="1211"/>
        <v>0</v>
      </c>
      <c r="FM300" s="19"/>
      <c r="FN300" s="19"/>
      <c r="FO300" s="22">
        <f t="shared" si="1212"/>
        <v>0</v>
      </c>
      <c r="FP300" s="22"/>
      <c r="FQ300" s="22">
        <f t="shared" ref="FQ300" si="1225">+IF(FO300=0,,FP300/FO300*100)</f>
        <v>0</v>
      </c>
      <c r="FR300" s="22">
        <f t="shared" si="1213"/>
        <v>0</v>
      </c>
      <c r="FS300" s="22"/>
      <c r="FT300" s="22"/>
      <c r="FU300" s="40"/>
      <c r="FV300" s="19">
        <f>+(FO300-FR300/1.18)*FN300</f>
        <v>0</v>
      </c>
      <c r="FW300" s="19">
        <f>+(FP300-FS300/1.18)*FN300</f>
        <v>0</v>
      </c>
      <c r="FX300" s="19">
        <f t="shared" ref="FX300" si="1226">+(FW300/2)-FV300/2</f>
        <v>0</v>
      </c>
      <c r="FY300" s="19">
        <f t="shared" ref="FY300" si="1227">+(FR300*EM300)/1.18</f>
        <v>0</v>
      </c>
      <c r="FZ300" s="19">
        <f t="shared" ref="FZ300" si="1228">+FO300*EM300</f>
        <v>0</v>
      </c>
      <c r="GA300" s="19">
        <f t="shared" ref="GA300" si="1229">+(FS300*EM300)/1.18</f>
        <v>0</v>
      </c>
      <c r="GB300" s="19">
        <f t="shared" ref="GB300" si="1230">+FP300*EM300</f>
        <v>0</v>
      </c>
      <c r="GC300" s="20">
        <f t="shared" si="1215"/>
        <v>0</v>
      </c>
      <c r="GD300" s="20">
        <f t="shared" si="1216"/>
        <v>0</v>
      </c>
      <c r="GE300" s="21">
        <f t="shared" ref="GE300" si="1231">+FO300*FM300</f>
        <v>0</v>
      </c>
      <c r="GF300" s="21">
        <f t="shared" ref="GF300" si="1232">+FR300*FN300</f>
        <v>0</v>
      </c>
      <c r="GG300" s="21"/>
      <c r="GH300" s="21"/>
      <c r="GI300" s="21"/>
      <c r="GJ300" s="21">
        <f t="shared" ref="GJ300" si="1233">+FS300*FN300</f>
        <v>0</v>
      </c>
      <c r="GK300" s="21"/>
      <c r="GL300" s="21"/>
      <c r="GM300" s="19"/>
      <c r="GN300" s="19"/>
      <c r="GO300" s="22"/>
      <c r="GP300" s="22"/>
      <c r="GQ300" s="22">
        <f t="shared" ref="GQ300" si="1234">+IF(GO300=0,,GP300/GO300*100)</f>
        <v>0</v>
      </c>
      <c r="GR300" s="22"/>
      <c r="GS300" s="22"/>
      <c r="GT300" s="22"/>
      <c r="GU300" s="43"/>
      <c r="GV300" s="19"/>
      <c r="GW300" s="19"/>
      <c r="GX300" s="19"/>
      <c r="GY300" s="19"/>
      <c r="GZ300" s="19"/>
      <c r="HA300" s="22"/>
      <c r="HB300" s="22"/>
      <c r="HC300" s="22">
        <f t="shared" ref="HC300" si="1235">+IF(HA300=0,,HB300/HA300*100)</f>
        <v>0</v>
      </c>
      <c r="HD300" s="22"/>
      <c r="HE300" s="22"/>
      <c r="HF300" s="22"/>
      <c r="HG300" s="233"/>
    </row>
    <row r="301" spans="2:215" ht="15.75">
      <c r="B301" s="10"/>
      <c r="C301" s="161" t="s">
        <v>204</v>
      </c>
      <c r="D301" s="73"/>
      <c r="E301" s="73"/>
      <c r="F301" s="74"/>
      <c r="G301" s="74"/>
      <c r="H301" s="74"/>
      <c r="I301" s="73"/>
      <c r="J301" s="74"/>
      <c r="K301" s="74"/>
      <c r="L301" s="74"/>
      <c r="M301" s="191"/>
      <c r="N301" s="191"/>
      <c r="O301" s="74"/>
      <c r="P301" s="74"/>
      <c r="Q301" s="74"/>
      <c r="R301" s="191"/>
      <c r="S301" s="74"/>
      <c r="T301" s="74"/>
      <c r="U301" s="74"/>
      <c r="V301" s="52"/>
      <c r="W301" s="52"/>
      <c r="X301" s="52"/>
      <c r="Y301" s="52"/>
      <c r="Z301" s="22"/>
      <c r="AA301" s="52"/>
      <c r="AB301" s="22"/>
      <c r="AC301" s="52"/>
      <c r="AD301" s="22">
        <v>2523.4</v>
      </c>
      <c r="AE301" s="22">
        <f>+IF(AC301=0,,AF301/AC301*100)</f>
        <v>0</v>
      </c>
      <c r="AF301" s="22">
        <v>2523.4</v>
      </c>
      <c r="AG301" s="22">
        <f t="shared" si="1112"/>
        <v>100</v>
      </c>
      <c r="AH301" s="52"/>
      <c r="AI301" s="52"/>
      <c r="AJ301" s="52"/>
      <c r="AK301" s="52"/>
      <c r="AL301" s="22"/>
      <c r="AM301" s="52"/>
      <c r="AN301" s="22"/>
      <c r="AO301" s="22"/>
      <c r="AP301" s="22"/>
      <c r="AQ301" s="22"/>
      <c r="AR301" s="22">
        <v>2317.13</v>
      </c>
      <c r="AS301" s="22">
        <f>+IF(AQ301=0,,AT301/AQ301*100)</f>
        <v>0</v>
      </c>
      <c r="AT301" s="22">
        <v>2588.23</v>
      </c>
      <c r="AU301" s="22">
        <f t="shared" si="1113"/>
        <v>111.69981830971936</v>
      </c>
      <c r="AV301" s="77"/>
      <c r="AW301" s="77"/>
      <c r="AX301" s="78" t="s">
        <v>139</v>
      </c>
      <c r="AY301" s="22">
        <f t="shared" si="1114"/>
        <v>7.0176299999999996</v>
      </c>
      <c r="AZ301" s="22">
        <f>+[8]БПр!$BX$888/1000</f>
        <v>1.35005</v>
      </c>
      <c r="BA301" s="22">
        <f>+[8]БПр!$BW$888/1000</f>
        <v>5.1927500000000002</v>
      </c>
      <c r="BB301" s="22">
        <f>+([8]БПр!$BY$888+[8]БПр!$BP$888)/1000</f>
        <v>0.47483000000000003</v>
      </c>
      <c r="BC301" s="22">
        <v>2523.4</v>
      </c>
      <c r="BD301" s="22">
        <v>2629.38</v>
      </c>
      <c r="BE301" s="22">
        <f t="shared" si="1115"/>
        <v>104.19988903859871</v>
      </c>
      <c r="BF301" s="22">
        <v>2588.23</v>
      </c>
      <c r="BG301" s="22">
        <v>2696.93</v>
      </c>
      <c r="BH301" s="22">
        <f t="shared" si="1116"/>
        <v>104.19978131773451</v>
      </c>
      <c r="BI301" s="22">
        <f>+BD301-BG301/1.18</f>
        <v>343.84610169491543</v>
      </c>
      <c r="BJ301" s="40" t="s">
        <v>140</v>
      </c>
      <c r="BK301" s="19"/>
      <c r="BL301" s="19"/>
      <c r="BM301" s="19"/>
      <c r="BN301" s="19"/>
      <c r="BO301" s="19"/>
      <c r="BP301" s="19"/>
      <c r="BQ301" s="19"/>
      <c r="BR301" s="19"/>
      <c r="BS301" s="19"/>
      <c r="BT301" s="19"/>
      <c r="BU301" s="19"/>
      <c r="BV301" s="19"/>
      <c r="BW301" s="19"/>
      <c r="BX301" s="19"/>
      <c r="BY301" s="19"/>
      <c r="BZ301" s="19"/>
      <c r="CA301" s="19"/>
      <c r="CB301" s="19"/>
      <c r="CC301" s="19"/>
      <c r="CD301" s="19"/>
      <c r="CE301" s="48"/>
      <c r="CF301" s="48"/>
      <c r="CG301" s="48"/>
      <c r="CH301" s="48"/>
      <c r="CI301" s="48"/>
      <c r="CJ301" s="48"/>
      <c r="CK301" s="48"/>
      <c r="CL301" s="48"/>
      <c r="CM301" s="48"/>
      <c r="CN301" s="48"/>
      <c r="CO301" s="48"/>
      <c r="CP301" s="48"/>
      <c r="CQ301" s="48"/>
      <c r="CR301" s="48"/>
      <c r="CS301" s="48"/>
      <c r="CT301" s="48"/>
      <c r="CU301" s="48"/>
      <c r="CV301" s="48"/>
      <c r="CW301" s="19"/>
      <c r="CX301" s="19"/>
      <c r="CY301" s="19"/>
      <c r="CZ301" s="19"/>
      <c r="DA301" s="21"/>
      <c r="DB301" s="21"/>
      <c r="DC301" s="79"/>
      <c r="DD301" s="79"/>
      <c r="DE301" s="79"/>
      <c r="DF301" s="79"/>
      <c r="DG301" s="79"/>
      <c r="DH301" s="51"/>
      <c r="DI301" s="39"/>
      <c r="DJ301" s="80"/>
      <c r="DK301" s="39"/>
      <c r="DL301" s="39"/>
      <c r="DM301" s="48"/>
      <c r="DN301" s="39"/>
      <c r="DO301" s="39"/>
      <c r="DP301" s="39"/>
      <c r="DQ301" s="39"/>
      <c r="DR301" s="39"/>
      <c r="DS301" s="39"/>
      <c r="DT301" s="39"/>
      <c r="DU301" s="19">
        <f t="shared" si="1117"/>
        <v>2961.2202639830507</v>
      </c>
      <c r="DV301" s="40">
        <f t="shared" si="1118"/>
        <v>3085.5850394067797</v>
      </c>
      <c r="DW301" s="40">
        <f t="shared" si="1119"/>
        <v>3549.7944689999999</v>
      </c>
      <c r="DX301" s="21">
        <f>+'[1]тарифы (НВВ) население на 4,2%'!CO391</f>
        <v>57.805154031590753</v>
      </c>
      <c r="DY301" s="21">
        <f t="shared" si="1120"/>
        <v>86.92292092832092</v>
      </c>
      <c r="DZ301" s="19">
        <f t="shared" si="1121"/>
        <v>17.708287541999997</v>
      </c>
      <c r="EA301" s="19">
        <f t="shared" si="1122"/>
        <v>18.452015969399998</v>
      </c>
      <c r="EB301" s="48">
        <v>1859.47</v>
      </c>
      <c r="EC301" s="48">
        <f>+(BC301-BF301/1.18)*AZ301</f>
        <v>445.49590601694933</v>
      </c>
      <c r="ED301" s="48">
        <f>+(BD301-BG301/1.18)*AZ301</f>
        <v>464.20942959322059</v>
      </c>
      <c r="EE301" s="22">
        <v>2629.38</v>
      </c>
      <c r="EF301" s="22">
        <v>2813.43</v>
      </c>
      <c r="EG301" s="22">
        <f t="shared" si="1125"/>
        <v>106.99974899025624</v>
      </c>
      <c r="EH301" s="22">
        <v>2696.93</v>
      </c>
      <c r="EI301" s="22">
        <v>2696.93</v>
      </c>
      <c r="EJ301" s="22">
        <f t="shared" si="1126"/>
        <v>100</v>
      </c>
      <c r="EK301" s="40" t="s">
        <v>141</v>
      </c>
      <c r="EL301" s="19">
        <v>4.5596099999999993</v>
      </c>
      <c r="EM301" s="19">
        <v>1.1371800000000001</v>
      </c>
      <c r="EN301" s="40">
        <f t="shared" si="1219"/>
        <v>2599.0634384745763</v>
      </c>
      <c r="EO301" s="40">
        <f t="shared" si="1220"/>
        <v>3199.3763274000003</v>
      </c>
      <c r="EP301" s="40"/>
      <c r="EQ301" s="21">
        <f t="shared" si="1210"/>
        <v>81.236565271042267</v>
      </c>
      <c r="ER301" s="21"/>
      <c r="ES301" s="21">
        <f t="shared" si="1221"/>
        <v>11988.947341799998</v>
      </c>
      <c r="ET301" s="21"/>
      <c r="EU301" s="19">
        <f t="shared" si="1222"/>
        <v>12828.143562299998</v>
      </c>
      <c r="EV301" s="21"/>
      <c r="EW301" s="39"/>
      <c r="EX301" s="39">
        <f t="shared" si="1190"/>
        <v>18452.015969399999</v>
      </c>
      <c r="EY301" s="39">
        <f t="shared" si="1191"/>
        <v>19743.610770899999</v>
      </c>
      <c r="EZ301" s="39"/>
      <c r="FA301" s="39"/>
      <c r="FB301" s="39"/>
      <c r="FC301" s="39"/>
      <c r="FD301" s="39"/>
      <c r="FE301" s="39"/>
      <c r="FF301" s="39"/>
      <c r="FG301" s="39"/>
      <c r="FH301" s="39"/>
      <c r="FI301" s="39"/>
      <c r="FJ301" s="19">
        <f t="shared" si="1223"/>
        <v>391.01490992542398</v>
      </c>
      <c r="FK301" s="19">
        <f>+(EF301-EI301/1.18)*EM301</f>
        <v>600.31288892542364</v>
      </c>
      <c r="FL301" s="19">
        <f t="shared" si="1211"/>
        <v>991.32779885084756</v>
      </c>
      <c r="FM301" s="19">
        <v>4.5199999999999996</v>
      </c>
      <c r="FN301" s="19">
        <v>1.0740000000000001</v>
      </c>
      <c r="FO301" s="22">
        <v>3013.12</v>
      </c>
      <c r="FP301" s="22">
        <v>3083.47</v>
      </c>
      <c r="FQ301" s="22"/>
      <c r="FR301" s="22">
        <v>2742.78</v>
      </c>
      <c r="FS301" s="22">
        <v>2742.78</v>
      </c>
      <c r="FT301" s="22"/>
      <c r="FU301" s="40" t="s">
        <v>624</v>
      </c>
      <c r="FV301" s="19"/>
      <c r="FW301" s="19"/>
      <c r="FX301" s="19"/>
      <c r="FY301" s="19"/>
      <c r="FZ301" s="19"/>
      <c r="GA301" s="19"/>
      <c r="GB301" s="19"/>
      <c r="GC301" s="20"/>
      <c r="GD301" s="20"/>
      <c r="GE301" s="21"/>
      <c r="GF301" s="21"/>
      <c r="GG301" s="21"/>
      <c r="GH301" s="21"/>
      <c r="GI301" s="21"/>
      <c r="GJ301" s="21"/>
      <c r="GK301" s="21"/>
      <c r="GL301" s="21"/>
      <c r="GM301" s="19"/>
      <c r="GN301" s="19"/>
      <c r="GO301" s="22">
        <v>3083.47</v>
      </c>
      <c r="GP301" s="22">
        <v>3217.34</v>
      </c>
      <c r="GQ301" s="22"/>
      <c r="GR301" s="22">
        <v>2742.8</v>
      </c>
      <c r="GS301" s="22">
        <v>2847.01</v>
      </c>
      <c r="GT301" s="22"/>
      <c r="GU301" s="40" t="s">
        <v>624</v>
      </c>
      <c r="GV301" s="19"/>
      <c r="GW301" s="19"/>
      <c r="GX301" s="19"/>
      <c r="GY301" s="19"/>
      <c r="GZ301" s="23"/>
      <c r="HA301" s="22">
        <v>3217.34</v>
      </c>
      <c r="HB301" s="22">
        <v>3305.42</v>
      </c>
      <c r="HC301" s="22"/>
      <c r="HD301" s="22">
        <v>2847.01</v>
      </c>
      <c r="HE301" s="22">
        <v>2960.89</v>
      </c>
      <c r="HF301" s="22"/>
      <c r="HG301" s="236" t="s">
        <v>624</v>
      </c>
    </row>
    <row r="302" spans="2:215" ht="27" customHeight="1">
      <c r="B302" s="10" t="s">
        <v>437</v>
      </c>
      <c r="C302" s="174" t="s">
        <v>438</v>
      </c>
      <c r="D302" s="73"/>
      <c r="E302" s="73"/>
      <c r="F302" s="74"/>
      <c r="G302" s="74"/>
      <c r="H302" s="74"/>
      <c r="I302" s="73"/>
      <c r="J302" s="74"/>
      <c r="K302" s="74"/>
      <c r="L302" s="74"/>
      <c r="M302" s="191"/>
      <c r="N302" s="191"/>
      <c r="O302" s="74"/>
      <c r="P302" s="74"/>
      <c r="Q302" s="74"/>
      <c r="R302" s="191"/>
      <c r="S302" s="74"/>
      <c r="T302" s="74"/>
      <c r="U302" s="74"/>
      <c r="V302" s="52"/>
      <c r="W302" s="52"/>
      <c r="X302" s="52"/>
      <c r="Y302" s="52"/>
      <c r="Z302" s="22"/>
      <c r="AA302" s="52"/>
      <c r="AB302" s="22"/>
      <c r="AC302" s="52"/>
      <c r="AD302" s="22"/>
      <c r="AE302" s="22"/>
      <c r="AF302" s="22"/>
      <c r="AG302" s="22">
        <f t="shared" si="1112"/>
        <v>0</v>
      </c>
      <c r="AH302" s="52"/>
      <c r="AI302" s="52"/>
      <c r="AJ302" s="52"/>
      <c r="AK302" s="52"/>
      <c r="AL302" s="22"/>
      <c r="AM302" s="52"/>
      <c r="AN302" s="22"/>
      <c r="AO302" s="22"/>
      <c r="AP302" s="22"/>
      <c r="AQ302" s="22"/>
      <c r="AR302" s="22"/>
      <c r="AS302" s="22"/>
      <c r="AT302" s="22"/>
      <c r="AU302" s="22">
        <f t="shared" si="1113"/>
        <v>0</v>
      </c>
      <c r="AV302" s="77"/>
      <c r="AW302" s="77"/>
      <c r="AX302" s="78"/>
      <c r="AY302" s="22">
        <f t="shared" si="1114"/>
        <v>0</v>
      </c>
      <c r="AZ302" s="22"/>
      <c r="BA302" s="22"/>
      <c r="BB302" s="22"/>
      <c r="BC302" s="22"/>
      <c r="BD302" s="22"/>
      <c r="BE302" s="22">
        <f t="shared" si="1115"/>
        <v>0</v>
      </c>
      <c r="BF302" s="22"/>
      <c r="BG302" s="22"/>
      <c r="BH302" s="22">
        <f t="shared" si="1116"/>
        <v>0</v>
      </c>
      <c r="BI302" s="22"/>
      <c r="BJ302" s="40"/>
      <c r="BK302" s="19"/>
      <c r="BL302" s="19"/>
      <c r="BM302" s="19"/>
      <c r="BN302" s="19"/>
      <c r="BO302" s="19"/>
      <c r="BP302" s="19"/>
      <c r="BQ302" s="19"/>
      <c r="BR302" s="19"/>
      <c r="BS302" s="19"/>
      <c r="BT302" s="19"/>
      <c r="BU302" s="19"/>
      <c r="BV302" s="19"/>
      <c r="BW302" s="19"/>
      <c r="BX302" s="19"/>
      <c r="BY302" s="19"/>
      <c r="BZ302" s="19"/>
      <c r="CA302" s="19"/>
      <c r="CB302" s="19"/>
      <c r="CC302" s="19"/>
      <c r="CD302" s="19"/>
      <c r="CE302" s="48"/>
      <c r="CF302" s="48"/>
      <c r="CG302" s="48"/>
      <c r="CH302" s="48"/>
      <c r="CI302" s="48"/>
      <c r="CJ302" s="48"/>
      <c r="CK302" s="48"/>
      <c r="CL302" s="48"/>
      <c r="CM302" s="48"/>
      <c r="CN302" s="48"/>
      <c r="CO302" s="48"/>
      <c r="CP302" s="48"/>
      <c r="CQ302" s="48"/>
      <c r="CR302" s="48"/>
      <c r="CS302" s="48"/>
      <c r="CT302" s="48"/>
      <c r="CU302" s="48"/>
      <c r="CV302" s="48"/>
      <c r="CW302" s="19"/>
      <c r="CX302" s="19"/>
      <c r="CY302" s="19"/>
      <c r="CZ302" s="19"/>
      <c r="DA302" s="21"/>
      <c r="DB302" s="21"/>
      <c r="DC302" s="79"/>
      <c r="DD302" s="79"/>
      <c r="DE302" s="79"/>
      <c r="DF302" s="79"/>
      <c r="DG302" s="79"/>
      <c r="DH302" s="51"/>
      <c r="DI302" s="39"/>
      <c r="DJ302" s="80"/>
      <c r="DK302" s="39"/>
      <c r="DL302" s="39"/>
      <c r="DM302" s="48"/>
      <c r="DN302" s="39"/>
      <c r="DO302" s="39"/>
      <c r="DP302" s="39"/>
      <c r="DQ302" s="39"/>
      <c r="DR302" s="39"/>
      <c r="DS302" s="39"/>
      <c r="DT302" s="39"/>
      <c r="DU302" s="19">
        <f t="shared" si="1117"/>
        <v>0</v>
      </c>
      <c r="DV302" s="40">
        <f t="shared" si="1118"/>
        <v>0</v>
      </c>
      <c r="DW302" s="40">
        <f t="shared" si="1119"/>
        <v>0</v>
      </c>
      <c r="DX302" s="46"/>
      <c r="DY302" s="21">
        <f t="shared" si="1120"/>
        <v>0</v>
      </c>
      <c r="DZ302" s="19">
        <f t="shared" si="1121"/>
        <v>0</v>
      </c>
      <c r="EA302" s="19">
        <f t="shared" si="1122"/>
        <v>0</v>
      </c>
      <c r="EB302" s="19"/>
      <c r="EC302" s="48">
        <f t="shared" si="1217"/>
        <v>0</v>
      </c>
      <c r="ED302" s="48">
        <f t="shared" si="1218"/>
        <v>0</v>
      </c>
      <c r="EE302" s="22"/>
      <c r="EF302" s="22"/>
      <c r="EG302" s="22">
        <f t="shared" si="1125"/>
        <v>0</v>
      </c>
      <c r="EH302" s="22"/>
      <c r="EI302" s="22"/>
      <c r="EJ302" s="22">
        <f t="shared" si="1126"/>
        <v>0</v>
      </c>
      <c r="EK302" s="40"/>
      <c r="EL302" s="19"/>
      <c r="EM302" s="19"/>
      <c r="EN302" s="40">
        <f t="shared" si="1219"/>
        <v>0</v>
      </c>
      <c r="EO302" s="40">
        <f t="shared" si="1220"/>
        <v>0</v>
      </c>
      <c r="EP302" s="40"/>
      <c r="EQ302" s="21">
        <f t="shared" si="1210"/>
        <v>0</v>
      </c>
      <c r="ER302" s="21"/>
      <c r="ES302" s="21">
        <f t="shared" si="1221"/>
        <v>0</v>
      </c>
      <c r="ET302" s="21"/>
      <c r="EU302" s="19">
        <f t="shared" si="1222"/>
        <v>0</v>
      </c>
      <c r="EV302" s="21"/>
      <c r="EW302" s="39"/>
      <c r="EX302" s="39">
        <f t="shared" si="1190"/>
        <v>0</v>
      </c>
      <c r="EY302" s="39">
        <f t="shared" si="1191"/>
        <v>0</v>
      </c>
      <c r="EZ302" s="39"/>
      <c r="FA302" s="39"/>
      <c r="FB302" s="39"/>
      <c r="FC302" s="39"/>
      <c r="FD302" s="39"/>
      <c r="FE302" s="39"/>
      <c r="FF302" s="39"/>
      <c r="FG302" s="39"/>
      <c r="FH302" s="39"/>
      <c r="FI302" s="39"/>
      <c r="FJ302" s="19">
        <f t="shared" si="1223"/>
        <v>0</v>
      </c>
      <c r="FK302" s="19">
        <f t="shared" si="1224"/>
        <v>0</v>
      </c>
      <c r="FL302" s="19">
        <f t="shared" si="1211"/>
        <v>0</v>
      </c>
      <c r="FM302" s="19"/>
      <c r="FN302" s="19"/>
      <c r="FO302" s="22"/>
      <c r="FP302" s="22"/>
      <c r="FQ302" s="22"/>
      <c r="FR302" s="22"/>
      <c r="FS302" s="22"/>
      <c r="FT302" s="22"/>
      <c r="FU302" s="40"/>
      <c r="FV302" s="19"/>
      <c r="FW302" s="19"/>
      <c r="FX302" s="19"/>
      <c r="FY302" s="19"/>
      <c r="FZ302" s="19"/>
      <c r="GA302" s="19"/>
      <c r="GB302" s="19"/>
      <c r="GC302" s="20"/>
      <c r="GD302" s="20"/>
      <c r="GE302" s="21"/>
      <c r="GF302" s="21"/>
      <c r="GG302" s="21"/>
      <c r="GH302" s="21"/>
      <c r="GI302" s="21"/>
      <c r="GJ302" s="21"/>
      <c r="GK302" s="21"/>
      <c r="GL302" s="21"/>
      <c r="GM302" s="19"/>
      <c r="GN302" s="19"/>
      <c r="GO302" s="22"/>
      <c r="GP302" s="22"/>
      <c r="GQ302" s="22"/>
      <c r="GR302" s="22"/>
      <c r="GS302" s="22"/>
      <c r="GT302" s="22"/>
      <c r="GU302" s="43"/>
      <c r="GV302" s="19"/>
      <c r="GW302" s="19"/>
      <c r="GX302" s="19"/>
      <c r="GY302" s="19"/>
      <c r="GZ302" s="23"/>
      <c r="HA302" s="22"/>
      <c r="HB302" s="22"/>
      <c r="HC302" s="22"/>
      <c r="HD302" s="22"/>
      <c r="HE302" s="22"/>
      <c r="HF302" s="22"/>
      <c r="HG302" s="233"/>
    </row>
    <row r="303" spans="2:215" ht="15.75">
      <c r="B303" s="10"/>
      <c r="C303" s="184" t="s">
        <v>439</v>
      </c>
      <c r="D303" s="73"/>
      <c r="E303" s="73"/>
      <c r="F303" s="74"/>
      <c r="G303" s="74"/>
      <c r="H303" s="74"/>
      <c r="I303" s="73"/>
      <c r="J303" s="74"/>
      <c r="K303" s="74"/>
      <c r="L303" s="74"/>
      <c r="M303" s="191"/>
      <c r="N303" s="191"/>
      <c r="O303" s="74"/>
      <c r="P303" s="74"/>
      <c r="Q303" s="74"/>
      <c r="R303" s="191"/>
      <c r="S303" s="74"/>
      <c r="T303" s="74"/>
      <c r="U303" s="74"/>
      <c r="V303" s="52"/>
      <c r="W303" s="52"/>
      <c r="X303" s="52"/>
      <c r="Y303" s="52"/>
      <c r="Z303" s="22"/>
      <c r="AA303" s="52"/>
      <c r="AB303" s="22"/>
      <c r="AC303" s="52"/>
      <c r="AD303" s="22">
        <v>85.33</v>
      </c>
      <c r="AE303" s="22">
        <f>+IF(AC303=0,,AF303/AC303*100)</f>
        <v>0</v>
      </c>
      <c r="AF303" s="22">
        <v>85.33</v>
      </c>
      <c r="AG303" s="22">
        <f t="shared" si="1112"/>
        <v>100</v>
      </c>
      <c r="AH303" s="52"/>
      <c r="AI303" s="52"/>
      <c r="AJ303" s="52"/>
      <c r="AK303" s="52"/>
      <c r="AL303" s="22"/>
      <c r="AM303" s="52"/>
      <c r="AN303" s="22"/>
      <c r="AO303" s="22"/>
      <c r="AP303" s="22"/>
      <c r="AQ303" s="22"/>
      <c r="AR303" s="22">
        <v>56.33</v>
      </c>
      <c r="AS303" s="22">
        <f>+IF(AQ303=0,,AT303/AQ303*100)</f>
        <v>0</v>
      </c>
      <c r="AT303" s="22">
        <v>62.35</v>
      </c>
      <c r="AU303" s="22">
        <f t="shared" si="1113"/>
        <v>110.68702290076335</v>
      </c>
      <c r="AV303" s="77"/>
      <c r="AW303" s="77"/>
      <c r="AX303" s="239" t="s">
        <v>440</v>
      </c>
      <c r="AY303" s="22">
        <f t="shared" si="1114"/>
        <v>102.97099999999999</v>
      </c>
      <c r="AZ303" s="22">
        <f>+[3]БПр!$AC$348/1000</f>
        <v>88.35</v>
      </c>
      <c r="BA303" s="22">
        <f>+[3]БПр!$AB$348/1000</f>
        <v>10.013999999999999</v>
      </c>
      <c r="BB303" s="22">
        <f>+[3]БПр!$AD$348/1000</f>
        <v>4.6070000000000002</v>
      </c>
      <c r="BC303" s="22">
        <v>85.33</v>
      </c>
      <c r="BD303" s="22">
        <v>85.33</v>
      </c>
      <c r="BE303" s="22">
        <f t="shared" si="1115"/>
        <v>100</v>
      </c>
      <c r="BF303" s="22">
        <v>62.35</v>
      </c>
      <c r="BG303" s="22">
        <v>64.959999999999994</v>
      </c>
      <c r="BH303" s="22">
        <f t="shared" si="1116"/>
        <v>104.18604651162791</v>
      </c>
      <c r="BI303" s="22"/>
      <c r="BJ303" s="240" t="s">
        <v>441</v>
      </c>
      <c r="BK303" s="19"/>
      <c r="BL303" s="19"/>
      <c r="BM303" s="19"/>
      <c r="BN303" s="19"/>
      <c r="BO303" s="19"/>
      <c r="BP303" s="19"/>
      <c r="BQ303" s="19"/>
      <c r="BR303" s="19"/>
      <c r="BS303" s="19"/>
      <c r="BT303" s="19"/>
      <c r="BU303" s="19"/>
      <c r="BV303" s="19"/>
      <c r="BW303" s="19"/>
      <c r="BX303" s="19"/>
      <c r="BY303" s="19"/>
      <c r="BZ303" s="19"/>
      <c r="CA303" s="19"/>
      <c r="CB303" s="19"/>
      <c r="CC303" s="19"/>
      <c r="CD303" s="19"/>
      <c r="CE303" s="48"/>
      <c r="CF303" s="48"/>
      <c r="CG303" s="48"/>
      <c r="CH303" s="48"/>
      <c r="CI303" s="48"/>
      <c r="CJ303" s="48"/>
      <c r="CK303" s="48"/>
      <c r="CL303" s="48"/>
      <c r="CM303" s="48"/>
      <c r="CN303" s="48"/>
      <c r="CO303" s="48"/>
      <c r="CP303" s="48"/>
      <c r="CQ303" s="48"/>
      <c r="CR303" s="48"/>
      <c r="CS303" s="48"/>
      <c r="CT303" s="48"/>
      <c r="CU303" s="48"/>
      <c r="CV303" s="48"/>
      <c r="CW303" s="19"/>
      <c r="CX303" s="19"/>
      <c r="CY303" s="19"/>
      <c r="CZ303" s="19"/>
      <c r="DA303" s="21"/>
      <c r="DB303" s="21"/>
      <c r="DC303" s="79"/>
      <c r="DD303" s="79"/>
      <c r="DE303" s="79"/>
      <c r="DF303" s="79"/>
      <c r="DG303" s="79"/>
      <c r="DH303" s="51"/>
      <c r="DI303" s="39"/>
      <c r="DJ303" s="80"/>
      <c r="DK303" s="39"/>
      <c r="DL303" s="39"/>
      <c r="DM303" s="48"/>
      <c r="DN303" s="39"/>
      <c r="DO303" s="39"/>
      <c r="DP303" s="39"/>
      <c r="DQ303" s="39"/>
      <c r="DR303" s="39"/>
      <c r="DS303" s="39"/>
      <c r="DT303" s="39"/>
      <c r="DU303" s="19">
        <f t="shared" si="1117"/>
        <v>4668.3241525423728</v>
      </c>
      <c r="DV303" s="40">
        <f t="shared" si="1118"/>
        <v>4863.7423728813555</v>
      </c>
      <c r="DW303" s="40">
        <f t="shared" si="1119"/>
        <v>7538.9054999999989</v>
      </c>
      <c r="DX303" s="46"/>
      <c r="DY303" s="21">
        <f t="shared" si="1120"/>
        <v>64.515231990656417</v>
      </c>
      <c r="DZ303" s="19">
        <f t="shared" si="1121"/>
        <v>8.7865154299999997</v>
      </c>
      <c r="EA303" s="19">
        <f t="shared" si="1122"/>
        <v>8.7865154299999997</v>
      </c>
      <c r="EB303" s="19"/>
      <c r="EC303" s="48">
        <f>+(BC303-BF303/1.18)*AZ303</f>
        <v>2870.5813474576266</v>
      </c>
      <c r="ED303" s="48">
        <f>+(BD303-BG303/1.18)*AZ303</f>
        <v>2675.1631271186443</v>
      </c>
      <c r="EE303" s="22">
        <v>84.65</v>
      </c>
      <c r="EF303" s="22">
        <v>84.65</v>
      </c>
      <c r="EG303" s="22">
        <f t="shared" si="1125"/>
        <v>100</v>
      </c>
      <c r="EH303" s="22">
        <v>64.959999999999994</v>
      </c>
      <c r="EI303" s="22">
        <v>70.44</v>
      </c>
      <c r="EJ303" s="22">
        <f t="shared" si="1126"/>
        <v>108.43596059113301</v>
      </c>
      <c r="EK303" s="240" t="s">
        <v>442</v>
      </c>
      <c r="EL303" s="19">
        <v>102.973</v>
      </c>
      <c r="EM303" s="19">
        <v>88.35</v>
      </c>
      <c r="EN303" s="40">
        <f t="shared" si="1219"/>
        <v>5274.0457627118649</v>
      </c>
      <c r="EO303" s="40">
        <f t="shared" si="1220"/>
        <v>7478.8275000000003</v>
      </c>
      <c r="EP303" s="40"/>
      <c r="EQ303" s="21">
        <f t="shared" si="1210"/>
        <v>70.519687246588646</v>
      </c>
      <c r="ER303" s="21"/>
      <c r="ES303" s="21">
        <f t="shared" si="1221"/>
        <v>8716.6644500000002</v>
      </c>
      <c r="ET303" s="21"/>
      <c r="EU303" s="19">
        <f t="shared" si="1222"/>
        <v>8716.6644500000002</v>
      </c>
      <c r="EV303" s="21"/>
      <c r="EW303" s="39"/>
      <c r="EX303" s="39">
        <f t="shared" si="1190"/>
        <v>8786.5154299999995</v>
      </c>
      <c r="EY303" s="39">
        <f t="shared" si="1191"/>
        <v>8716.4951499999988</v>
      </c>
      <c r="EZ303" s="39"/>
      <c r="FA303" s="39"/>
      <c r="FB303" s="39"/>
      <c r="FC303" s="39"/>
      <c r="FD303" s="39"/>
      <c r="FE303" s="39"/>
      <c r="FF303" s="39"/>
      <c r="FG303" s="39"/>
      <c r="FH303" s="39"/>
      <c r="FI303" s="39"/>
      <c r="FJ303" s="19">
        <f t="shared" si="1223"/>
        <v>2615.0851271186448</v>
      </c>
      <c r="FK303" s="19">
        <f t="shared" si="1224"/>
        <v>2204.7817372881359</v>
      </c>
      <c r="FL303" s="19">
        <f t="shared" si="1211"/>
        <v>4819.8668644067802</v>
      </c>
      <c r="FM303" s="19">
        <v>102.973</v>
      </c>
      <c r="FN303" s="19">
        <v>88.35</v>
      </c>
      <c r="FO303" s="22">
        <v>112.86</v>
      </c>
      <c r="FP303" s="22">
        <v>115.34</v>
      </c>
      <c r="FQ303" s="22"/>
      <c r="FR303" s="22">
        <v>94.85</v>
      </c>
      <c r="FS303" s="22">
        <v>94.85</v>
      </c>
      <c r="FT303" s="22"/>
      <c r="FU303" s="241" t="s">
        <v>694</v>
      </c>
      <c r="FV303" s="19"/>
      <c r="FW303" s="19"/>
      <c r="FX303" s="19"/>
      <c r="FY303" s="19"/>
      <c r="FZ303" s="19"/>
      <c r="GA303" s="19"/>
      <c r="GB303" s="19"/>
      <c r="GC303" s="20"/>
      <c r="GD303" s="20"/>
      <c r="GE303" s="21"/>
      <c r="GF303" s="21"/>
      <c r="GG303" s="21"/>
      <c r="GH303" s="21"/>
      <c r="GI303" s="21"/>
      <c r="GJ303" s="21"/>
      <c r="GK303" s="21"/>
      <c r="GL303" s="21"/>
      <c r="GM303" s="19"/>
      <c r="GN303" s="19"/>
      <c r="GO303" s="22">
        <v>115.34</v>
      </c>
      <c r="GP303" s="22">
        <v>118.79</v>
      </c>
      <c r="GQ303" s="22"/>
      <c r="GR303" s="22">
        <v>94.85</v>
      </c>
      <c r="GS303" s="22">
        <v>98.64</v>
      </c>
      <c r="GT303" s="22"/>
      <c r="GU303" s="241" t="s">
        <v>694</v>
      </c>
      <c r="GV303" s="19"/>
      <c r="GW303" s="19"/>
      <c r="GX303" s="19"/>
      <c r="GY303" s="19"/>
      <c r="GZ303" s="23"/>
      <c r="HA303" s="22">
        <v>118.79</v>
      </c>
      <c r="HB303" s="22">
        <v>122.34</v>
      </c>
      <c r="HC303" s="22"/>
      <c r="HD303" s="22">
        <v>98.64</v>
      </c>
      <c r="HE303" s="22">
        <v>102.59</v>
      </c>
      <c r="HF303" s="22"/>
      <c r="HG303" s="241" t="s">
        <v>694</v>
      </c>
    </row>
    <row r="304" spans="2:215" ht="15.75">
      <c r="B304" s="10"/>
      <c r="C304" s="184" t="s">
        <v>615</v>
      </c>
      <c r="D304" s="73"/>
      <c r="E304" s="73"/>
      <c r="F304" s="74"/>
      <c r="G304" s="74"/>
      <c r="H304" s="74"/>
      <c r="I304" s="73"/>
      <c r="J304" s="74"/>
      <c r="K304" s="74"/>
      <c r="L304" s="74"/>
      <c r="M304" s="191"/>
      <c r="N304" s="191"/>
      <c r="O304" s="74"/>
      <c r="P304" s="74"/>
      <c r="Q304" s="74"/>
      <c r="R304" s="191"/>
      <c r="S304" s="74"/>
      <c r="T304" s="74"/>
      <c r="U304" s="74"/>
      <c r="V304" s="52"/>
      <c r="W304" s="52"/>
      <c r="X304" s="52"/>
      <c r="Y304" s="52"/>
      <c r="Z304" s="22"/>
      <c r="AA304" s="52"/>
      <c r="AB304" s="22"/>
      <c r="AC304" s="52"/>
      <c r="AD304" s="22">
        <v>45.02</v>
      </c>
      <c r="AE304" s="22">
        <f>+IF(AC304=0,,AF304/AC304*100)</f>
        <v>0</v>
      </c>
      <c r="AF304" s="22">
        <v>45.02</v>
      </c>
      <c r="AG304" s="22">
        <f t="shared" ref="AG304" si="1236">+IF(AD304=0,,AF304/AD304*100)</f>
        <v>100</v>
      </c>
      <c r="AH304" s="52"/>
      <c r="AI304" s="52"/>
      <c r="AJ304" s="52"/>
      <c r="AK304" s="52"/>
      <c r="AL304" s="22"/>
      <c r="AM304" s="52"/>
      <c r="AN304" s="22"/>
      <c r="AO304" s="22"/>
      <c r="AP304" s="22"/>
      <c r="AQ304" s="22"/>
      <c r="AR304" s="22">
        <v>27.56</v>
      </c>
      <c r="AS304" s="22">
        <f>+IF(AQ304=0,,AT304/AQ304*100)</f>
        <v>0</v>
      </c>
      <c r="AT304" s="22">
        <v>30.5</v>
      </c>
      <c r="AU304" s="22">
        <f t="shared" ref="AU304:AU343" si="1237">+IF(AR304=0,,AT304/AR304*100)</f>
        <v>110.66763425253991</v>
      </c>
      <c r="AV304" s="77"/>
      <c r="AW304" s="77"/>
      <c r="AX304" s="239"/>
      <c r="AY304" s="22">
        <f t="shared" si="1114"/>
        <v>16.151910000000001</v>
      </c>
      <c r="AZ304" s="22">
        <f>+[4]БПр!$O$550/1000</f>
        <v>7.4283599999999979</v>
      </c>
      <c r="BA304" s="22">
        <f>+[4]БПр!$N$550/1000</f>
        <v>8.3172300000000021</v>
      </c>
      <c r="BB304" s="22">
        <f>+[4]БПр!$P$550/1000</f>
        <v>0.40632000000000013</v>
      </c>
      <c r="BC304" s="22">
        <v>45.02</v>
      </c>
      <c r="BD304" s="22">
        <v>45.02</v>
      </c>
      <c r="BE304" s="22">
        <f t="shared" si="1115"/>
        <v>100</v>
      </c>
      <c r="BF304" s="22">
        <v>30.5</v>
      </c>
      <c r="BG304" s="22">
        <v>31.78</v>
      </c>
      <c r="BH304" s="22">
        <f t="shared" si="1116"/>
        <v>104.19672131147541</v>
      </c>
      <c r="BI304" s="22"/>
      <c r="BJ304" s="240"/>
      <c r="BK304" s="19"/>
      <c r="BL304" s="19"/>
      <c r="BM304" s="19"/>
      <c r="BN304" s="19"/>
      <c r="BO304" s="19"/>
      <c r="BP304" s="19"/>
      <c r="BQ304" s="19"/>
      <c r="BR304" s="19"/>
      <c r="BS304" s="19"/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48"/>
      <c r="CF304" s="48"/>
      <c r="CG304" s="48"/>
      <c r="CH304" s="48"/>
      <c r="CI304" s="48"/>
      <c r="CJ304" s="48"/>
      <c r="CK304" s="48"/>
      <c r="CL304" s="48"/>
      <c r="CM304" s="48"/>
      <c r="CN304" s="48"/>
      <c r="CO304" s="48"/>
      <c r="CP304" s="48"/>
      <c r="CQ304" s="48"/>
      <c r="CR304" s="48"/>
      <c r="CS304" s="48"/>
      <c r="CT304" s="48"/>
      <c r="CU304" s="48"/>
      <c r="CV304" s="48"/>
      <c r="CW304" s="19"/>
      <c r="CX304" s="19"/>
      <c r="CY304" s="19"/>
      <c r="CZ304" s="19"/>
      <c r="DA304" s="21"/>
      <c r="DB304" s="21"/>
      <c r="DC304" s="79"/>
      <c r="DD304" s="79"/>
      <c r="DE304" s="79"/>
      <c r="DF304" s="79"/>
      <c r="DG304" s="79"/>
      <c r="DH304" s="51"/>
      <c r="DI304" s="39"/>
      <c r="DJ304" s="80"/>
      <c r="DK304" s="39"/>
      <c r="DL304" s="39"/>
      <c r="DM304" s="48"/>
      <c r="DN304" s="39"/>
      <c r="DO304" s="39"/>
      <c r="DP304" s="39"/>
      <c r="DQ304" s="39"/>
      <c r="DR304" s="39"/>
      <c r="DS304" s="39"/>
      <c r="DT304" s="39"/>
      <c r="DU304" s="19">
        <f t="shared" si="1117"/>
        <v>192.004220338983</v>
      </c>
      <c r="DV304" s="40">
        <f t="shared" si="1118"/>
        <v>200.0621023728813</v>
      </c>
      <c r="DW304" s="40">
        <f t="shared" si="1119"/>
        <v>334.42476719999991</v>
      </c>
      <c r="DX304" s="46"/>
      <c r="DY304" s="21">
        <f t="shared" si="1120"/>
        <v>59.822752976078434</v>
      </c>
      <c r="DZ304" s="19">
        <f t="shared" si="1121"/>
        <v>0.72715898820000002</v>
      </c>
      <c r="EA304" s="19">
        <f t="shared" si="1122"/>
        <v>0.72715898820000002</v>
      </c>
      <c r="EB304" s="19"/>
      <c r="EC304" s="48">
        <f>+(BC304-BF304/1.18)*AZ304</f>
        <v>142.4205468610169</v>
      </c>
      <c r="ED304" s="48">
        <f>+(BD304-BG304/1.18)*AZ304</f>
        <v>134.36266482711861</v>
      </c>
      <c r="EE304" s="22">
        <v>35.25</v>
      </c>
      <c r="EF304" s="22">
        <v>35.25</v>
      </c>
      <c r="EG304" s="22">
        <f t="shared" ref="EG304:EG343" si="1238">+IF(EE304=0,,EF304/EE304*100)</f>
        <v>100</v>
      </c>
      <c r="EH304" s="22">
        <v>31.78</v>
      </c>
      <c r="EI304" s="22">
        <v>32.83</v>
      </c>
      <c r="EJ304" s="22">
        <f t="shared" ref="EJ304:EJ343" si="1239">+IF(EH304=0,,EI304/EH304*100)</f>
        <v>103.30396475770924</v>
      </c>
      <c r="EK304" s="240"/>
      <c r="EL304" s="19">
        <v>16.152000000000001</v>
      </c>
      <c r="EM304" s="19">
        <v>7.43</v>
      </c>
      <c r="EN304" s="40">
        <f t="shared" si="1219"/>
        <v>206.71771186440679</v>
      </c>
      <c r="EO304" s="40">
        <f t="shared" si="1220"/>
        <v>261.90749999999997</v>
      </c>
      <c r="EP304" s="40"/>
      <c r="EQ304" s="21">
        <f t="shared" si="1210"/>
        <v>78.927755739872595</v>
      </c>
      <c r="ER304" s="21"/>
      <c r="ES304" s="21">
        <f t="shared" si="1221"/>
        <v>569.35800000000006</v>
      </c>
      <c r="ET304" s="21"/>
      <c r="EU304" s="19">
        <f t="shared" si="1222"/>
        <v>569.35800000000006</v>
      </c>
      <c r="EV304" s="21"/>
      <c r="EW304" s="39"/>
      <c r="EX304" s="39">
        <f t="shared" si="1190"/>
        <v>727.15898820000007</v>
      </c>
      <c r="EY304" s="39">
        <f t="shared" si="1191"/>
        <v>569.35482750000006</v>
      </c>
      <c r="EZ304" s="39"/>
      <c r="FA304" s="39"/>
      <c r="FB304" s="39"/>
      <c r="FC304" s="39"/>
      <c r="FD304" s="39"/>
      <c r="FE304" s="39"/>
      <c r="FF304" s="39"/>
      <c r="FG304" s="39"/>
      <c r="FH304" s="39"/>
      <c r="FI304" s="39"/>
      <c r="FJ304" s="19">
        <f t="shared" si="1223"/>
        <v>61.801228813559291</v>
      </c>
      <c r="FK304" s="19">
        <f t="shared" si="1224"/>
        <v>55.189788135593233</v>
      </c>
      <c r="FL304" s="19">
        <f t="shared" si="1211"/>
        <v>116.99101694915252</v>
      </c>
      <c r="FM304" s="19">
        <v>16.152000000000001</v>
      </c>
      <c r="FN304" s="19">
        <v>6.806</v>
      </c>
      <c r="FO304" s="22">
        <v>51.61</v>
      </c>
      <c r="FP304" s="22">
        <v>52.74</v>
      </c>
      <c r="FQ304" s="22"/>
      <c r="FR304" s="22">
        <v>44.21</v>
      </c>
      <c r="FS304" s="22">
        <v>44.21</v>
      </c>
      <c r="FT304" s="22"/>
      <c r="FU304" s="240"/>
      <c r="FV304" s="19"/>
      <c r="FW304" s="19"/>
      <c r="FX304" s="19"/>
      <c r="FY304" s="19"/>
      <c r="FZ304" s="19"/>
      <c r="GA304" s="19"/>
      <c r="GB304" s="19"/>
      <c r="GC304" s="20"/>
      <c r="GD304" s="20"/>
      <c r="GE304" s="21"/>
      <c r="GF304" s="21"/>
      <c r="GG304" s="21"/>
      <c r="GH304" s="21"/>
      <c r="GI304" s="21"/>
      <c r="GJ304" s="21"/>
      <c r="GK304" s="21"/>
      <c r="GL304" s="21"/>
      <c r="GM304" s="19"/>
      <c r="GN304" s="19"/>
      <c r="GO304" s="22">
        <v>52.74</v>
      </c>
      <c r="GP304" s="22">
        <v>54.45</v>
      </c>
      <c r="GQ304" s="22"/>
      <c r="GR304" s="22">
        <v>44.21</v>
      </c>
      <c r="GS304" s="22">
        <v>45.98</v>
      </c>
      <c r="GT304" s="22"/>
      <c r="GU304" s="240"/>
      <c r="GV304" s="19"/>
      <c r="GW304" s="19"/>
      <c r="GX304" s="19"/>
      <c r="GY304" s="19"/>
      <c r="GZ304" s="23"/>
      <c r="HA304" s="22">
        <v>54.45</v>
      </c>
      <c r="HB304" s="22">
        <v>55.96</v>
      </c>
      <c r="HC304" s="22"/>
      <c r="HD304" s="22">
        <v>45.98</v>
      </c>
      <c r="HE304" s="22">
        <v>47.82</v>
      </c>
      <c r="HF304" s="22"/>
      <c r="HG304" s="240"/>
    </row>
    <row r="305" spans="2:215" ht="15.75">
      <c r="B305" s="11"/>
      <c r="C305" s="186" t="s">
        <v>574</v>
      </c>
      <c r="D305" s="76"/>
      <c r="E305" s="73"/>
      <c r="F305" s="74"/>
      <c r="G305" s="74"/>
      <c r="H305" s="74"/>
      <c r="I305" s="73"/>
      <c r="J305" s="73"/>
      <c r="K305" s="73"/>
      <c r="L305" s="73"/>
      <c r="M305" s="76"/>
      <c r="N305" s="73"/>
      <c r="O305" s="76"/>
      <c r="P305" s="76"/>
      <c r="Q305" s="76"/>
      <c r="R305" s="73"/>
      <c r="S305" s="74"/>
      <c r="T305" s="74"/>
      <c r="U305" s="74"/>
      <c r="V305" s="52"/>
      <c r="W305" s="52"/>
      <c r="X305" s="52"/>
      <c r="Y305" s="52"/>
      <c r="Z305" s="22"/>
      <c r="AA305" s="52"/>
      <c r="AB305" s="22"/>
      <c r="AC305" s="52"/>
      <c r="AD305" s="52"/>
      <c r="AE305" s="22"/>
      <c r="AF305" s="22"/>
      <c r="AG305" s="22"/>
      <c r="AH305" s="22"/>
      <c r="AI305" s="22"/>
      <c r="AJ305" s="52"/>
      <c r="AK305" s="22"/>
      <c r="AL305" s="22"/>
      <c r="AM305" s="22"/>
      <c r="AN305" s="22"/>
      <c r="AO305" s="22"/>
      <c r="AP305" s="22"/>
      <c r="AQ305" s="22"/>
      <c r="AR305" s="22"/>
      <c r="AS305" s="22"/>
      <c r="AT305" s="22"/>
      <c r="AU305" s="22"/>
      <c r="AV305" s="77"/>
      <c r="AW305" s="77"/>
      <c r="AX305" s="78"/>
      <c r="AY305" s="22"/>
      <c r="AZ305" s="22"/>
      <c r="BA305" s="22"/>
      <c r="BB305" s="22"/>
      <c r="BC305" s="22"/>
      <c r="BD305" s="22"/>
      <c r="BE305" s="22"/>
      <c r="BF305" s="22"/>
      <c r="BG305" s="22"/>
      <c r="BH305" s="22"/>
      <c r="BI305" s="22"/>
      <c r="BJ305" s="40"/>
      <c r="BK305" s="19"/>
      <c r="BL305" s="19"/>
      <c r="BM305" s="19"/>
      <c r="BN305" s="19"/>
      <c r="BO305" s="19"/>
      <c r="BP305" s="19"/>
      <c r="BQ305" s="19"/>
      <c r="BR305" s="19"/>
      <c r="BS305" s="19"/>
      <c r="BT305" s="19"/>
      <c r="BU305" s="19"/>
      <c r="BV305" s="19"/>
      <c r="BW305" s="19"/>
      <c r="BX305" s="19"/>
      <c r="BY305" s="19"/>
      <c r="BZ305" s="19"/>
      <c r="CA305" s="19"/>
      <c r="CB305" s="19"/>
      <c r="CC305" s="19"/>
      <c r="CD305" s="19"/>
      <c r="CE305" s="48"/>
      <c r="CF305" s="48"/>
      <c r="CG305" s="48"/>
      <c r="CH305" s="48"/>
      <c r="CI305" s="48"/>
      <c r="CJ305" s="48"/>
      <c r="CK305" s="48"/>
      <c r="CL305" s="48"/>
      <c r="CM305" s="48"/>
      <c r="CN305" s="48"/>
      <c r="CO305" s="48"/>
      <c r="CP305" s="48"/>
      <c r="CQ305" s="48"/>
      <c r="CR305" s="48"/>
      <c r="CS305" s="48"/>
      <c r="CT305" s="48"/>
      <c r="CU305" s="48"/>
      <c r="CV305" s="48"/>
      <c r="CW305" s="19"/>
      <c r="CX305" s="19"/>
      <c r="CY305" s="19"/>
      <c r="CZ305" s="19"/>
      <c r="DA305" s="21"/>
      <c r="DB305" s="21"/>
      <c r="DC305" s="79"/>
      <c r="DD305" s="79"/>
      <c r="DE305" s="79"/>
      <c r="DF305" s="79"/>
      <c r="DG305" s="79"/>
      <c r="DH305" s="51"/>
      <c r="DI305" s="39"/>
      <c r="DJ305" s="80"/>
      <c r="DK305" s="39"/>
      <c r="DL305" s="39"/>
      <c r="DM305" s="48"/>
      <c r="DN305" s="39"/>
      <c r="DO305" s="39"/>
      <c r="DP305" s="39"/>
      <c r="DQ305" s="39"/>
      <c r="DR305" s="39"/>
      <c r="DS305" s="39"/>
      <c r="DT305" s="39"/>
      <c r="DU305" s="19"/>
      <c r="DV305" s="40"/>
      <c r="DW305" s="40"/>
      <c r="DX305" s="21"/>
      <c r="DY305" s="21"/>
      <c r="DZ305" s="19"/>
      <c r="EA305" s="19"/>
      <c r="EB305" s="19"/>
      <c r="EC305" s="48"/>
      <c r="ED305" s="48"/>
      <c r="EE305" s="22"/>
      <c r="EF305" s="22"/>
      <c r="EG305" s="22"/>
      <c r="EH305" s="22"/>
      <c r="EI305" s="22"/>
      <c r="EJ305" s="22"/>
      <c r="EK305" s="40"/>
      <c r="EL305" s="19"/>
      <c r="EM305" s="19"/>
      <c r="EN305" s="40"/>
      <c r="EO305" s="40"/>
      <c r="EP305" s="40"/>
      <c r="EQ305" s="21"/>
      <c r="ER305" s="21"/>
      <c r="ES305" s="19"/>
      <c r="ET305" s="19"/>
      <c r="EU305" s="19"/>
      <c r="EV305" s="21"/>
      <c r="EW305" s="166"/>
      <c r="EX305" s="39"/>
      <c r="EY305" s="39"/>
      <c r="EZ305" s="39"/>
      <c r="FA305" s="39"/>
      <c r="FB305" s="39"/>
      <c r="FC305" s="39"/>
      <c r="FD305" s="39"/>
      <c r="FE305" s="39"/>
      <c r="FF305" s="39"/>
      <c r="FG305" s="39"/>
      <c r="FH305" s="39"/>
      <c r="FI305" s="39"/>
      <c r="FJ305" s="19"/>
      <c r="FK305" s="19"/>
      <c r="FL305" s="19"/>
      <c r="FM305" s="19"/>
      <c r="FN305" s="19"/>
      <c r="FO305" s="22"/>
      <c r="FP305" s="22"/>
      <c r="FQ305" s="22"/>
      <c r="FR305" s="22"/>
      <c r="FS305" s="22"/>
      <c r="FT305" s="22"/>
      <c r="FU305" s="40"/>
      <c r="FV305" s="19"/>
      <c r="FW305" s="19"/>
      <c r="FX305" s="19"/>
      <c r="FY305" s="19"/>
      <c r="FZ305" s="19"/>
      <c r="GA305" s="19"/>
      <c r="GB305" s="19"/>
      <c r="GC305" s="20"/>
      <c r="GD305" s="20"/>
      <c r="GE305" s="19"/>
      <c r="GF305" s="19"/>
      <c r="GG305" s="19"/>
      <c r="GH305" s="19"/>
      <c r="GI305" s="19"/>
      <c r="GJ305" s="21"/>
      <c r="GK305" s="19"/>
      <c r="GL305" s="19"/>
      <c r="GM305" s="19"/>
      <c r="GN305" s="19"/>
      <c r="GO305" s="22"/>
      <c r="GP305" s="22"/>
      <c r="GQ305" s="22"/>
      <c r="GR305" s="22"/>
      <c r="GS305" s="22"/>
      <c r="GT305" s="22"/>
      <c r="GU305" s="43"/>
      <c r="GV305" s="19"/>
      <c r="GW305" s="19"/>
      <c r="GX305" s="19"/>
      <c r="GY305" s="19"/>
      <c r="GZ305" s="23"/>
      <c r="HA305" s="22"/>
      <c r="HB305" s="22"/>
      <c r="HC305" s="22"/>
      <c r="HD305" s="22"/>
      <c r="HE305" s="22"/>
      <c r="HF305" s="22"/>
      <c r="HG305" s="233"/>
    </row>
    <row r="306" spans="2:215" ht="15.75">
      <c r="B306" s="10"/>
      <c r="C306" s="184" t="s">
        <v>131</v>
      </c>
      <c r="D306" s="76"/>
      <c r="E306" s="73"/>
      <c r="F306" s="74"/>
      <c r="G306" s="74"/>
      <c r="H306" s="74"/>
      <c r="I306" s="73"/>
      <c r="J306" s="73"/>
      <c r="K306" s="73"/>
      <c r="L306" s="73"/>
      <c r="M306" s="76"/>
      <c r="N306" s="73"/>
      <c r="O306" s="76"/>
      <c r="P306" s="76"/>
      <c r="Q306" s="76"/>
      <c r="R306" s="73"/>
      <c r="S306" s="74"/>
      <c r="T306" s="74"/>
      <c r="U306" s="74"/>
      <c r="V306" s="52"/>
      <c r="W306" s="52"/>
      <c r="X306" s="52"/>
      <c r="Y306" s="52"/>
      <c r="Z306" s="22"/>
      <c r="AA306" s="52"/>
      <c r="AB306" s="22"/>
      <c r="AC306" s="52"/>
      <c r="AD306" s="52"/>
      <c r="AE306" s="22"/>
      <c r="AF306" s="22"/>
      <c r="AG306" s="22"/>
      <c r="AH306" s="22"/>
      <c r="AI306" s="22"/>
      <c r="AJ306" s="52"/>
      <c r="AK306" s="22"/>
      <c r="AL306" s="22"/>
      <c r="AM306" s="22"/>
      <c r="AN306" s="22"/>
      <c r="AO306" s="22"/>
      <c r="AP306" s="22"/>
      <c r="AQ306" s="22"/>
      <c r="AR306" s="22"/>
      <c r="AS306" s="22"/>
      <c r="AT306" s="22"/>
      <c r="AU306" s="22"/>
      <c r="AV306" s="77"/>
      <c r="AW306" s="77"/>
      <c r="AX306" s="78"/>
      <c r="AY306" s="22"/>
      <c r="AZ306" s="22"/>
      <c r="BA306" s="22"/>
      <c r="BB306" s="22"/>
      <c r="BC306" s="22"/>
      <c r="BD306" s="22"/>
      <c r="BE306" s="22"/>
      <c r="BF306" s="22"/>
      <c r="BG306" s="22"/>
      <c r="BH306" s="22"/>
      <c r="BI306" s="22"/>
      <c r="BJ306" s="40"/>
      <c r="BK306" s="19"/>
      <c r="BL306" s="19"/>
      <c r="BM306" s="19"/>
      <c r="BN306" s="19"/>
      <c r="BO306" s="19"/>
      <c r="BP306" s="19"/>
      <c r="BQ306" s="19"/>
      <c r="BR306" s="19"/>
      <c r="BS306" s="19"/>
      <c r="BT306" s="19"/>
      <c r="BU306" s="19"/>
      <c r="BV306" s="19"/>
      <c r="BW306" s="19"/>
      <c r="BX306" s="19"/>
      <c r="BY306" s="19"/>
      <c r="BZ306" s="19"/>
      <c r="CA306" s="19"/>
      <c r="CB306" s="19"/>
      <c r="CC306" s="19"/>
      <c r="CD306" s="19"/>
      <c r="CE306" s="48"/>
      <c r="CF306" s="48"/>
      <c r="CG306" s="48"/>
      <c r="CH306" s="48"/>
      <c r="CI306" s="48"/>
      <c r="CJ306" s="48"/>
      <c r="CK306" s="48"/>
      <c r="CL306" s="48"/>
      <c r="CM306" s="48"/>
      <c r="CN306" s="48"/>
      <c r="CO306" s="48"/>
      <c r="CP306" s="48"/>
      <c r="CQ306" s="48"/>
      <c r="CR306" s="48"/>
      <c r="CS306" s="48"/>
      <c r="CT306" s="48"/>
      <c r="CU306" s="48"/>
      <c r="CV306" s="48"/>
      <c r="CW306" s="19"/>
      <c r="CX306" s="19"/>
      <c r="CY306" s="19"/>
      <c r="CZ306" s="19"/>
      <c r="DA306" s="21"/>
      <c r="DB306" s="21"/>
      <c r="DC306" s="79"/>
      <c r="DD306" s="79"/>
      <c r="DE306" s="79"/>
      <c r="DF306" s="79"/>
      <c r="DG306" s="79"/>
      <c r="DH306" s="51"/>
      <c r="DI306" s="39"/>
      <c r="DJ306" s="80"/>
      <c r="DK306" s="39"/>
      <c r="DL306" s="39"/>
      <c r="DM306" s="48"/>
      <c r="DN306" s="39"/>
      <c r="DO306" s="39"/>
      <c r="DP306" s="39"/>
      <c r="DQ306" s="39"/>
      <c r="DR306" s="39"/>
      <c r="DS306" s="39"/>
      <c r="DT306" s="39"/>
      <c r="DU306" s="19"/>
      <c r="DV306" s="40"/>
      <c r="DW306" s="40"/>
      <c r="DX306" s="21"/>
      <c r="DY306" s="21"/>
      <c r="DZ306" s="19"/>
      <c r="EA306" s="19"/>
      <c r="EB306" s="19"/>
      <c r="EC306" s="48"/>
      <c r="ED306" s="48"/>
      <c r="EE306" s="22"/>
      <c r="EF306" s="22"/>
      <c r="EG306" s="22"/>
      <c r="EH306" s="22"/>
      <c r="EI306" s="22"/>
      <c r="EJ306" s="22"/>
      <c r="EK306" s="40"/>
      <c r="EL306" s="19"/>
      <c r="EM306" s="19"/>
      <c r="EN306" s="40"/>
      <c r="EO306" s="40"/>
      <c r="EP306" s="40"/>
      <c r="EQ306" s="21"/>
      <c r="ER306" s="21"/>
      <c r="ES306" s="19"/>
      <c r="ET306" s="19"/>
      <c r="EU306" s="19"/>
      <c r="EV306" s="21"/>
      <c r="EW306" s="166"/>
      <c r="EX306" s="39"/>
      <c r="EY306" s="39"/>
      <c r="EZ306" s="39"/>
      <c r="FA306" s="39"/>
      <c r="FB306" s="39"/>
      <c r="FC306" s="39"/>
      <c r="FD306" s="39"/>
      <c r="FE306" s="39"/>
      <c r="FF306" s="39"/>
      <c r="FG306" s="39"/>
      <c r="FH306" s="39"/>
      <c r="FI306" s="39"/>
      <c r="FJ306" s="19"/>
      <c r="FK306" s="19"/>
      <c r="FL306" s="19"/>
      <c r="FM306" s="19"/>
      <c r="FN306" s="19"/>
      <c r="FO306" s="22">
        <v>21.26</v>
      </c>
      <c r="FP306" s="22">
        <v>21.69</v>
      </c>
      <c r="FQ306" s="22"/>
      <c r="FR306" s="22">
        <v>25.51</v>
      </c>
      <c r="FS306" s="22">
        <v>26.03</v>
      </c>
      <c r="FT306" s="22"/>
      <c r="FU306" s="242" t="s">
        <v>648</v>
      </c>
      <c r="FV306" s="19"/>
      <c r="FW306" s="19"/>
      <c r="FX306" s="19"/>
      <c r="FY306" s="19"/>
      <c r="FZ306" s="19"/>
      <c r="GA306" s="19"/>
      <c r="GB306" s="19"/>
      <c r="GC306" s="20"/>
      <c r="GD306" s="20"/>
      <c r="GE306" s="19"/>
      <c r="GF306" s="19"/>
      <c r="GG306" s="19"/>
      <c r="GH306" s="19"/>
      <c r="GI306" s="19"/>
      <c r="GJ306" s="21"/>
      <c r="GK306" s="19"/>
      <c r="GL306" s="19"/>
      <c r="GM306" s="19"/>
      <c r="GN306" s="19"/>
      <c r="GO306" s="22">
        <v>21.89</v>
      </c>
      <c r="GP306" s="22">
        <v>22.66</v>
      </c>
      <c r="GQ306" s="22"/>
      <c r="GR306" s="22">
        <v>25.83</v>
      </c>
      <c r="GS306" s="22">
        <v>26.74</v>
      </c>
      <c r="GT306" s="22"/>
      <c r="GU306" s="242" t="s">
        <v>648</v>
      </c>
      <c r="GV306" s="19"/>
      <c r="GW306" s="19"/>
      <c r="GX306" s="19"/>
      <c r="GY306" s="19"/>
      <c r="GZ306" s="23"/>
      <c r="HA306" s="52" t="s">
        <v>633</v>
      </c>
      <c r="HB306" s="22" t="s">
        <v>633</v>
      </c>
      <c r="HC306" s="22"/>
      <c r="HD306" s="52" t="s">
        <v>633</v>
      </c>
      <c r="HE306" s="22" t="s">
        <v>633</v>
      </c>
      <c r="HF306" s="22"/>
      <c r="HG306" s="233" t="s">
        <v>633</v>
      </c>
    </row>
    <row r="307" spans="2:215" ht="15.75">
      <c r="B307" s="10"/>
      <c r="C307" s="184" t="s">
        <v>576</v>
      </c>
      <c r="D307" s="76"/>
      <c r="E307" s="73"/>
      <c r="F307" s="74"/>
      <c r="G307" s="74"/>
      <c r="H307" s="74"/>
      <c r="I307" s="73"/>
      <c r="J307" s="73"/>
      <c r="K307" s="73"/>
      <c r="L307" s="73"/>
      <c r="M307" s="76"/>
      <c r="N307" s="73"/>
      <c r="O307" s="76"/>
      <c r="P307" s="76"/>
      <c r="Q307" s="76"/>
      <c r="R307" s="73"/>
      <c r="S307" s="74"/>
      <c r="T307" s="74"/>
      <c r="U307" s="74"/>
      <c r="V307" s="52"/>
      <c r="W307" s="52"/>
      <c r="X307" s="52"/>
      <c r="Y307" s="52"/>
      <c r="Z307" s="22"/>
      <c r="AA307" s="52"/>
      <c r="AB307" s="22"/>
      <c r="AC307" s="52"/>
      <c r="AD307" s="52"/>
      <c r="AE307" s="22"/>
      <c r="AF307" s="22"/>
      <c r="AG307" s="22"/>
      <c r="AH307" s="22"/>
      <c r="AI307" s="22"/>
      <c r="AJ307" s="52"/>
      <c r="AK307" s="22"/>
      <c r="AL307" s="22"/>
      <c r="AM307" s="22"/>
      <c r="AN307" s="22"/>
      <c r="AO307" s="22"/>
      <c r="AP307" s="22"/>
      <c r="AQ307" s="22"/>
      <c r="AR307" s="22"/>
      <c r="AS307" s="22"/>
      <c r="AT307" s="22"/>
      <c r="AU307" s="22"/>
      <c r="AV307" s="77"/>
      <c r="AW307" s="77"/>
      <c r="AX307" s="78"/>
      <c r="AY307" s="22"/>
      <c r="AZ307" s="22"/>
      <c r="BA307" s="22"/>
      <c r="BB307" s="22"/>
      <c r="BC307" s="22"/>
      <c r="BD307" s="22"/>
      <c r="BE307" s="22"/>
      <c r="BF307" s="22"/>
      <c r="BG307" s="22"/>
      <c r="BH307" s="22"/>
      <c r="BI307" s="22"/>
      <c r="BJ307" s="40"/>
      <c r="BK307" s="19"/>
      <c r="BL307" s="19"/>
      <c r="BM307" s="19"/>
      <c r="BN307" s="19"/>
      <c r="BO307" s="19"/>
      <c r="BP307" s="19"/>
      <c r="BQ307" s="19"/>
      <c r="BR307" s="19"/>
      <c r="BS307" s="19"/>
      <c r="BT307" s="19"/>
      <c r="BU307" s="19"/>
      <c r="BV307" s="19"/>
      <c r="BW307" s="19"/>
      <c r="BX307" s="19"/>
      <c r="BY307" s="19"/>
      <c r="BZ307" s="19"/>
      <c r="CA307" s="19"/>
      <c r="CB307" s="19"/>
      <c r="CC307" s="19"/>
      <c r="CD307" s="19"/>
      <c r="CE307" s="48"/>
      <c r="CF307" s="48"/>
      <c r="CG307" s="48"/>
      <c r="CH307" s="48"/>
      <c r="CI307" s="48"/>
      <c r="CJ307" s="48"/>
      <c r="CK307" s="48"/>
      <c r="CL307" s="48"/>
      <c r="CM307" s="48"/>
      <c r="CN307" s="48"/>
      <c r="CO307" s="48"/>
      <c r="CP307" s="48"/>
      <c r="CQ307" s="48"/>
      <c r="CR307" s="48"/>
      <c r="CS307" s="48"/>
      <c r="CT307" s="48"/>
      <c r="CU307" s="48"/>
      <c r="CV307" s="48"/>
      <c r="CW307" s="19"/>
      <c r="CX307" s="19"/>
      <c r="CY307" s="19"/>
      <c r="CZ307" s="19"/>
      <c r="DA307" s="21"/>
      <c r="DB307" s="21"/>
      <c r="DC307" s="79"/>
      <c r="DD307" s="79"/>
      <c r="DE307" s="79"/>
      <c r="DF307" s="79"/>
      <c r="DG307" s="79"/>
      <c r="DH307" s="51"/>
      <c r="DI307" s="39"/>
      <c r="DJ307" s="80"/>
      <c r="DK307" s="39"/>
      <c r="DL307" s="39"/>
      <c r="DM307" s="48"/>
      <c r="DN307" s="39"/>
      <c r="DO307" s="39"/>
      <c r="DP307" s="39"/>
      <c r="DQ307" s="39"/>
      <c r="DR307" s="39"/>
      <c r="DS307" s="39"/>
      <c r="DT307" s="39"/>
      <c r="DU307" s="19"/>
      <c r="DV307" s="40"/>
      <c r="DW307" s="40"/>
      <c r="DX307" s="21"/>
      <c r="DY307" s="21"/>
      <c r="DZ307" s="19"/>
      <c r="EA307" s="19"/>
      <c r="EB307" s="19"/>
      <c r="EC307" s="48"/>
      <c r="ED307" s="48"/>
      <c r="EE307" s="22"/>
      <c r="EF307" s="22"/>
      <c r="EG307" s="22"/>
      <c r="EH307" s="22"/>
      <c r="EI307" s="22"/>
      <c r="EJ307" s="22"/>
      <c r="EK307" s="40"/>
      <c r="EL307" s="19"/>
      <c r="EM307" s="19"/>
      <c r="EN307" s="40"/>
      <c r="EO307" s="40"/>
      <c r="EP307" s="40"/>
      <c r="EQ307" s="21"/>
      <c r="ER307" s="21"/>
      <c r="ES307" s="19"/>
      <c r="ET307" s="19"/>
      <c r="EU307" s="19"/>
      <c r="EV307" s="21"/>
      <c r="EW307" s="166"/>
      <c r="EX307" s="39"/>
      <c r="EY307" s="39"/>
      <c r="EZ307" s="39"/>
      <c r="FA307" s="39"/>
      <c r="FB307" s="39"/>
      <c r="FC307" s="39"/>
      <c r="FD307" s="39"/>
      <c r="FE307" s="39"/>
      <c r="FF307" s="39"/>
      <c r="FG307" s="39"/>
      <c r="FH307" s="39"/>
      <c r="FI307" s="39"/>
      <c r="FJ307" s="19"/>
      <c r="FK307" s="19"/>
      <c r="FL307" s="19"/>
      <c r="FM307" s="19"/>
      <c r="FN307" s="19"/>
      <c r="FO307" s="22">
        <v>6.42</v>
      </c>
      <c r="FP307" s="22">
        <v>6.52</v>
      </c>
      <c r="FQ307" s="22"/>
      <c r="FR307" s="22">
        <v>7.7</v>
      </c>
      <c r="FS307" s="22">
        <v>7.82</v>
      </c>
      <c r="FT307" s="22"/>
      <c r="FU307" s="242"/>
      <c r="FV307" s="19"/>
      <c r="FW307" s="19"/>
      <c r="FX307" s="19"/>
      <c r="FY307" s="19"/>
      <c r="FZ307" s="19"/>
      <c r="GA307" s="19"/>
      <c r="GB307" s="19"/>
      <c r="GC307" s="20"/>
      <c r="GD307" s="20"/>
      <c r="GE307" s="19"/>
      <c r="GF307" s="19"/>
      <c r="GG307" s="19"/>
      <c r="GH307" s="19"/>
      <c r="GI307" s="19"/>
      <c r="GJ307" s="21"/>
      <c r="GK307" s="19"/>
      <c r="GL307" s="19"/>
      <c r="GM307" s="19"/>
      <c r="GN307" s="19"/>
      <c r="GO307" s="22">
        <v>6.61</v>
      </c>
      <c r="GP307" s="22">
        <v>6.81</v>
      </c>
      <c r="GQ307" s="22"/>
      <c r="GR307" s="22">
        <v>7.8</v>
      </c>
      <c r="GS307" s="22">
        <v>8.0399999999999991</v>
      </c>
      <c r="GT307" s="22"/>
      <c r="GU307" s="242"/>
      <c r="GV307" s="19"/>
      <c r="GW307" s="19"/>
      <c r="GX307" s="19"/>
      <c r="GY307" s="19"/>
      <c r="GZ307" s="23"/>
      <c r="HA307" s="52" t="s">
        <v>633</v>
      </c>
      <c r="HB307" s="22" t="s">
        <v>633</v>
      </c>
      <c r="HC307" s="22"/>
      <c r="HD307" s="52" t="s">
        <v>633</v>
      </c>
      <c r="HE307" s="22" t="s">
        <v>633</v>
      </c>
      <c r="HF307" s="22"/>
      <c r="HG307" s="233" t="s">
        <v>633</v>
      </c>
    </row>
    <row r="308" spans="2:215" ht="15.75">
      <c r="B308" s="11"/>
      <c r="C308" s="161" t="s">
        <v>204</v>
      </c>
      <c r="D308" s="76"/>
      <c r="E308" s="73"/>
      <c r="F308" s="74"/>
      <c r="G308" s="74"/>
      <c r="H308" s="74"/>
      <c r="I308" s="73"/>
      <c r="J308" s="73"/>
      <c r="K308" s="73"/>
      <c r="L308" s="73"/>
      <c r="M308" s="76"/>
      <c r="N308" s="73"/>
      <c r="O308" s="76"/>
      <c r="P308" s="76"/>
      <c r="Q308" s="76"/>
      <c r="R308" s="73"/>
      <c r="S308" s="74"/>
      <c r="T308" s="74"/>
      <c r="U308" s="74"/>
      <c r="V308" s="52"/>
      <c r="W308" s="52"/>
      <c r="X308" s="52"/>
      <c r="Y308" s="52"/>
      <c r="Z308" s="22"/>
      <c r="AA308" s="52"/>
      <c r="AB308" s="22"/>
      <c r="AC308" s="52"/>
      <c r="AD308" s="52"/>
      <c r="AE308" s="22"/>
      <c r="AF308" s="22"/>
      <c r="AG308" s="22"/>
      <c r="AH308" s="22"/>
      <c r="AI308" s="22"/>
      <c r="AJ308" s="52"/>
      <c r="AK308" s="22"/>
      <c r="AL308" s="22"/>
      <c r="AM308" s="22"/>
      <c r="AN308" s="22"/>
      <c r="AO308" s="22"/>
      <c r="AP308" s="22"/>
      <c r="AQ308" s="22"/>
      <c r="AR308" s="22"/>
      <c r="AS308" s="22"/>
      <c r="AT308" s="22"/>
      <c r="AU308" s="22"/>
      <c r="AV308" s="77"/>
      <c r="AW308" s="77"/>
      <c r="AX308" s="78"/>
      <c r="AY308" s="22"/>
      <c r="AZ308" s="22"/>
      <c r="BA308" s="22"/>
      <c r="BB308" s="22"/>
      <c r="BC308" s="22"/>
      <c r="BD308" s="22"/>
      <c r="BE308" s="22"/>
      <c r="BF308" s="22"/>
      <c r="BG308" s="22"/>
      <c r="BH308" s="22"/>
      <c r="BI308" s="22"/>
      <c r="BJ308" s="40"/>
      <c r="BK308" s="19"/>
      <c r="BL308" s="19"/>
      <c r="BM308" s="19"/>
      <c r="BN308" s="19"/>
      <c r="BO308" s="19"/>
      <c r="BP308" s="19"/>
      <c r="BQ308" s="19"/>
      <c r="BR308" s="19"/>
      <c r="BS308" s="19"/>
      <c r="BT308" s="19"/>
      <c r="BU308" s="19"/>
      <c r="BV308" s="19"/>
      <c r="BW308" s="19"/>
      <c r="BX308" s="19"/>
      <c r="BY308" s="19"/>
      <c r="BZ308" s="19"/>
      <c r="CA308" s="19"/>
      <c r="CB308" s="19"/>
      <c r="CC308" s="19"/>
      <c r="CD308" s="19"/>
      <c r="CE308" s="48"/>
      <c r="CF308" s="48"/>
      <c r="CG308" s="48"/>
      <c r="CH308" s="48"/>
      <c r="CI308" s="48"/>
      <c r="CJ308" s="48"/>
      <c r="CK308" s="48"/>
      <c r="CL308" s="48"/>
      <c r="CM308" s="48"/>
      <c r="CN308" s="48"/>
      <c r="CO308" s="48"/>
      <c r="CP308" s="48"/>
      <c r="CQ308" s="48"/>
      <c r="CR308" s="48"/>
      <c r="CS308" s="48"/>
      <c r="CT308" s="48"/>
      <c r="CU308" s="48"/>
      <c r="CV308" s="48"/>
      <c r="CW308" s="19"/>
      <c r="CX308" s="19"/>
      <c r="CY308" s="19"/>
      <c r="CZ308" s="19"/>
      <c r="DA308" s="21"/>
      <c r="DB308" s="21"/>
      <c r="DC308" s="79"/>
      <c r="DD308" s="79"/>
      <c r="DE308" s="79"/>
      <c r="DF308" s="79"/>
      <c r="DG308" s="79"/>
      <c r="DH308" s="51"/>
      <c r="DI308" s="39"/>
      <c r="DJ308" s="80"/>
      <c r="DK308" s="39"/>
      <c r="DL308" s="39"/>
      <c r="DM308" s="48"/>
      <c r="DN308" s="39"/>
      <c r="DO308" s="39"/>
      <c r="DP308" s="39"/>
      <c r="DQ308" s="39"/>
      <c r="DR308" s="39"/>
      <c r="DS308" s="39"/>
      <c r="DT308" s="39"/>
      <c r="DU308" s="19"/>
      <c r="DV308" s="40"/>
      <c r="DW308" s="40"/>
      <c r="DX308" s="21"/>
      <c r="DY308" s="21"/>
      <c r="DZ308" s="19"/>
      <c r="EA308" s="19"/>
      <c r="EB308" s="19"/>
      <c r="EC308" s="48"/>
      <c r="ED308" s="48"/>
      <c r="EE308" s="22"/>
      <c r="EF308" s="22"/>
      <c r="EG308" s="22"/>
      <c r="EH308" s="22"/>
      <c r="EI308" s="22"/>
      <c r="EJ308" s="22"/>
      <c r="EK308" s="40"/>
      <c r="EL308" s="19"/>
      <c r="EM308" s="19"/>
      <c r="EN308" s="40"/>
      <c r="EO308" s="40"/>
      <c r="EP308" s="40"/>
      <c r="EQ308" s="21"/>
      <c r="ER308" s="21"/>
      <c r="ES308" s="19"/>
      <c r="ET308" s="19"/>
      <c r="EU308" s="19"/>
      <c r="EV308" s="21"/>
      <c r="EW308" s="166"/>
      <c r="EX308" s="39"/>
      <c r="EY308" s="39"/>
      <c r="EZ308" s="39"/>
      <c r="FA308" s="39"/>
      <c r="FB308" s="39"/>
      <c r="FC308" s="39"/>
      <c r="FD308" s="39"/>
      <c r="FE308" s="39"/>
      <c r="FF308" s="39"/>
      <c r="FG308" s="39"/>
      <c r="FH308" s="39"/>
      <c r="FI308" s="39"/>
      <c r="FJ308" s="19"/>
      <c r="FK308" s="19"/>
      <c r="FL308" s="19"/>
      <c r="FM308" s="19"/>
      <c r="FN308" s="19"/>
      <c r="FO308" s="22">
        <v>2862.99</v>
      </c>
      <c r="FP308" s="22">
        <v>2940.25</v>
      </c>
      <c r="FQ308" s="22"/>
      <c r="FR308" s="22">
        <v>2300.0700000000002</v>
      </c>
      <c r="FS308" s="22">
        <v>2361.94</v>
      </c>
      <c r="FT308" s="22"/>
      <c r="FU308" s="40" t="s">
        <v>647</v>
      </c>
      <c r="FV308" s="19"/>
      <c r="FW308" s="19"/>
      <c r="FX308" s="19"/>
      <c r="FY308" s="19"/>
      <c r="FZ308" s="19"/>
      <c r="GA308" s="19"/>
      <c r="GB308" s="19"/>
      <c r="GC308" s="20"/>
      <c r="GD308" s="20"/>
      <c r="GE308" s="19"/>
      <c r="GF308" s="19"/>
      <c r="GG308" s="19"/>
      <c r="GH308" s="19"/>
      <c r="GI308" s="19"/>
      <c r="GJ308" s="21"/>
      <c r="GK308" s="19"/>
      <c r="GL308" s="19"/>
      <c r="GM308" s="19"/>
      <c r="GN308" s="19"/>
      <c r="GO308" s="22">
        <v>2957.08</v>
      </c>
      <c r="GP308" s="22">
        <v>3061.89</v>
      </c>
      <c r="GQ308" s="22"/>
      <c r="GR308" s="22">
        <v>2352.31</v>
      </c>
      <c r="GS308" s="22">
        <v>2446.4</v>
      </c>
      <c r="GT308" s="22"/>
      <c r="GU308" s="40" t="s">
        <v>647</v>
      </c>
      <c r="GV308" s="19"/>
      <c r="GW308" s="19"/>
      <c r="GX308" s="19"/>
      <c r="GY308" s="19"/>
      <c r="GZ308" s="23"/>
      <c r="HA308" s="52" t="s">
        <v>633</v>
      </c>
      <c r="HB308" s="22" t="s">
        <v>633</v>
      </c>
      <c r="HC308" s="22"/>
      <c r="HD308" s="52" t="s">
        <v>633</v>
      </c>
      <c r="HE308" s="22" t="s">
        <v>633</v>
      </c>
      <c r="HF308" s="22"/>
      <c r="HG308" s="233" t="s">
        <v>633</v>
      </c>
    </row>
    <row r="309" spans="2:215" ht="15.6" customHeight="1">
      <c r="B309" s="11" t="s">
        <v>443</v>
      </c>
      <c r="C309" s="81" t="s">
        <v>607</v>
      </c>
      <c r="D309" s="144"/>
      <c r="E309" s="144"/>
      <c r="F309" s="74"/>
      <c r="G309" s="74"/>
      <c r="H309" s="74"/>
      <c r="I309" s="144"/>
      <c r="J309" s="74"/>
      <c r="K309" s="74"/>
      <c r="L309" s="74"/>
      <c r="M309" s="144"/>
      <c r="N309" s="144"/>
      <c r="O309" s="74"/>
      <c r="P309" s="74"/>
      <c r="Q309" s="74"/>
      <c r="R309" s="144"/>
      <c r="S309" s="74"/>
      <c r="T309" s="74"/>
      <c r="U309" s="74"/>
      <c r="V309" s="130"/>
      <c r="W309" s="130"/>
      <c r="X309" s="22"/>
      <c r="Y309" s="130"/>
      <c r="Z309" s="22"/>
      <c r="AA309" s="130"/>
      <c r="AB309" s="22"/>
      <c r="AC309" s="130"/>
      <c r="AD309" s="130"/>
      <c r="AE309" s="22"/>
      <c r="AF309" s="22"/>
      <c r="AG309" s="22"/>
      <c r="AH309" s="52"/>
      <c r="AI309" s="52"/>
      <c r="AJ309" s="22"/>
      <c r="AK309" s="52"/>
      <c r="AL309" s="22"/>
      <c r="AM309" s="52"/>
      <c r="AN309" s="22"/>
      <c r="AO309" s="22"/>
      <c r="AP309" s="22"/>
      <c r="AQ309" s="22"/>
      <c r="AR309" s="22"/>
      <c r="AS309" s="22"/>
      <c r="AT309" s="22"/>
      <c r="AU309" s="22"/>
      <c r="AV309" s="77"/>
      <c r="AW309" s="77"/>
      <c r="AX309" s="78"/>
      <c r="AY309" s="22"/>
      <c r="AZ309" s="22"/>
      <c r="BA309" s="22"/>
      <c r="BB309" s="22"/>
      <c r="BC309" s="22"/>
      <c r="BD309" s="22"/>
      <c r="BE309" s="22"/>
      <c r="BF309" s="22"/>
      <c r="BG309" s="22"/>
      <c r="BH309" s="22"/>
      <c r="BI309" s="22"/>
      <c r="BJ309" s="40"/>
      <c r="BK309" s="19"/>
      <c r="BL309" s="19"/>
      <c r="BM309" s="19"/>
      <c r="BN309" s="19"/>
      <c r="BO309" s="19"/>
      <c r="BP309" s="19"/>
      <c r="BQ309" s="19"/>
      <c r="BR309" s="19"/>
      <c r="BS309" s="19"/>
      <c r="BT309" s="19"/>
      <c r="BU309" s="19"/>
      <c r="BV309" s="19"/>
      <c r="BW309" s="19"/>
      <c r="BX309" s="19"/>
      <c r="BY309" s="19"/>
      <c r="BZ309" s="19"/>
      <c r="CA309" s="19"/>
      <c r="CB309" s="19"/>
      <c r="CC309" s="19"/>
      <c r="CD309" s="19"/>
      <c r="CE309" s="48"/>
      <c r="CF309" s="48"/>
      <c r="CG309" s="48"/>
      <c r="CH309" s="48"/>
      <c r="CI309" s="48"/>
      <c r="CJ309" s="48"/>
      <c r="CK309" s="48"/>
      <c r="CL309" s="48"/>
      <c r="CM309" s="48"/>
      <c r="CN309" s="48"/>
      <c r="CO309" s="48"/>
      <c r="CP309" s="48"/>
      <c r="CQ309" s="48"/>
      <c r="CR309" s="48"/>
      <c r="CS309" s="48"/>
      <c r="CT309" s="48"/>
      <c r="CU309" s="48"/>
      <c r="CV309" s="48"/>
      <c r="CW309" s="19"/>
      <c r="CX309" s="19"/>
      <c r="CY309" s="19"/>
      <c r="CZ309" s="19"/>
      <c r="DA309" s="21"/>
      <c r="DB309" s="21"/>
      <c r="DC309" s="79"/>
      <c r="DD309" s="79"/>
      <c r="DE309" s="79"/>
      <c r="DF309" s="79"/>
      <c r="DG309" s="79"/>
      <c r="DH309" s="51"/>
      <c r="DI309" s="39"/>
      <c r="DJ309" s="80"/>
      <c r="DK309" s="39"/>
      <c r="DL309" s="39"/>
      <c r="DM309" s="48"/>
      <c r="DN309" s="39"/>
      <c r="DO309" s="39"/>
      <c r="DP309" s="39"/>
      <c r="DQ309" s="39"/>
      <c r="DR309" s="39"/>
      <c r="DS309" s="39"/>
      <c r="DT309" s="39"/>
      <c r="DU309" s="19"/>
      <c r="DV309" s="40"/>
      <c r="DW309" s="40"/>
      <c r="DX309" s="46"/>
      <c r="DY309" s="21"/>
      <c r="DZ309" s="19"/>
      <c r="EA309" s="19"/>
      <c r="EB309" s="19"/>
      <c r="EC309" s="48"/>
      <c r="ED309" s="48"/>
      <c r="EE309" s="22"/>
      <c r="EF309" s="22"/>
      <c r="EG309" s="22"/>
      <c r="EH309" s="22"/>
      <c r="EI309" s="22"/>
      <c r="EJ309" s="22"/>
      <c r="EK309" s="40"/>
      <c r="EL309" s="19"/>
      <c r="EM309" s="19"/>
      <c r="EN309" s="40"/>
      <c r="EO309" s="40"/>
      <c r="EP309" s="40"/>
      <c r="EQ309" s="21"/>
      <c r="ER309" s="21"/>
      <c r="ES309" s="21"/>
      <c r="ET309" s="21"/>
      <c r="EU309" s="19"/>
      <c r="EV309" s="21"/>
      <c r="EW309" s="39"/>
      <c r="EX309" s="39"/>
      <c r="EY309" s="39"/>
      <c r="EZ309" s="39"/>
      <c r="FA309" s="39"/>
      <c r="FB309" s="39"/>
      <c r="FC309" s="39"/>
      <c r="FD309" s="39"/>
      <c r="FE309" s="39"/>
      <c r="FF309" s="39"/>
      <c r="FG309" s="39"/>
      <c r="FH309" s="39"/>
      <c r="FI309" s="39"/>
      <c r="FJ309" s="19"/>
      <c r="FK309" s="19"/>
      <c r="FL309" s="19"/>
      <c r="FM309" s="19"/>
      <c r="FN309" s="19"/>
      <c r="FO309" s="22"/>
      <c r="FP309" s="39"/>
      <c r="FQ309" s="22"/>
      <c r="FR309" s="22"/>
      <c r="FS309" s="22"/>
      <c r="FT309" s="22"/>
      <c r="FU309" s="40"/>
      <c r="FV309" s="19"/>
      <c r="FW309" s="19"/>
      <c r="FX309" s="19"/>
      <c r="FY309" s="19"/>
      <c r="FZ309" s="19"/>
      <c r="GA309" s="19"/>
      <c r="GB309" s="19"/>
      <c r="GC309" s="20"/>
      <c r="GD309" s="20"/>
      <c r="GE309" s="21"/>
      <c r="GF309" s="21"/>
      <c r="GG309" s="21"/>
      <c r="GH309" s="21"/>
      <c r="GI309" s="21"/>
      <c r="GJ309" s="21"/>
      <c r="GK309" s="21"/>
      <c r="GL309" s="21"/>
      <c r="GM309" s="19"/>
      <c r="GN309" s="19"/>
      <c r="GO309" s="22"/>
      <c r="GP309" s="22"/>
      <c r="GQ309" s="22"/>
      <c r="GR309" s="22"/>
      <c r="GS309" s="22"/>
      <c r="GT309" s="22"/>
      <c r="GU309" s="43"/>
      <c r="GV309" s="19"/>
      <c r="GW309" s="19"/>
      <c r="GX309" s="19"/>
      <c r="GY309" s="19"/>
      <c r="GZ309" s="23"/>
      <c r="HA309" s="22"/>
      <c r="HB309" s="22"/>
      <c r="HC309" s="22"/>
      <c r="HD309" s="22"/>
      <c r="HE309" s="22"/>
      <c r="HF309" s="22"/>
      <c r="HG309" s="233"/>
    </row>
    <row r="310" spans="2:215" ht="15.6" customHeight="1">
      <c r="B310" s="11"/>
      <c r="C310" s="161" t="s">
        <v>153</v>
      </c>
      <c r="D310" s="144"/>
      <c r="E310" s="144"/>
      <c r="F310" s="74"/>
      <c r="G310" s="74"/>
      <c r="H310" s="74"/>
      <c r="I310" s="144"/>
      <c r="J310" s="74"/>
      <c r="K310" s="74"/>
      <c r="L310" s="74"/>
      <c r="M310" s="144"/>
      <c r="N310" s="144"/>
      <c r="O310" s="74"/>
      <c r="P310" s="74"/>
      <c r="Q310" s="74"/>
      <c r="R310" s="144"/>
      <c r="S310" s="74"/>
      <c r="T310" s="74"/>
      <c r="U310" s="74"/>
      <c r="V310" s="130"/>
      <c r="W310" s="130"/>
      <c r="X310" s="22"/>
      <c r="Y310" s="130"/>
      <c r="Z310" s="22"/>
      <c r="AA310" s="130"/>
      <c r="AB310" s="22"/>
      <c r="AC310" s="130"/>
      <c r="AD310" s="130"/>
      <c r="AE310" s="22"/>
      <c r="AF310" s="22"/>
      <c r="AG310" s="22"/>
      <c r="AH310" s="52"/>
      <c r="AI310" s="52"/>
      <c r="AJ310" s="22"/>
      <c r="AK310" s="52"/>
      <c r="AL310" s="22"/>
      <c r="AM310" s="52"/>
      <c r="AN310" s="22"/>
      <c r="AO310" s="22"/>
      <c r="AP310" s="22"/>
      <c r="AQ310" s="22"/>
      <c r="AR310" s="22"/>
      <c r="AS310" s="22"/>
      <c r="AT310" s="22"/>
      <c r="AU310" s="22"/>
      <c r="AV310" s="77"/>
      <c r="AW310" s="77"/>
      <c r="AX310" s="78"/>
      <c r="AY310" s="22"/>
      <c r="AZ310" s="22"/>
      <c r="BA310" s="22"/>
      <c r="BB310" s="22"/>
      <c r="BC310" s="22"/>
      <c r="BD310" s="22"/>
      <c r="BE310" s="22"/>
      <c r="BF310" s="22"/>
      <c r="BG310" s="22"/>
      <c r="BH310" s="22"/>
      <c r="BI310" s="22"/>
      <c r="BJ310" s="40"/>
      <c r="BK310" s="19"/>
      <c r="BL310" s="19"/>
      <c r="BM310" s="19"/>
      <c r="BN310" s="19"/>
      <c r="BO310" s="19"/>
      <c r="BP310" s="19"/>
      <c r="BQ310" s="19"/>
      <c r="BR310" s="19"/>
      <c r="BS310" s="19"/>
      <c r="BT310" s="19"/>
      <c r="BU310" s="19"/>
      <c r="BV310" s="19"/>
      <c r="BW310" s="19"/>
      <c r="BX310" s="19"/>
      <c r="BY310" s="19"/>
      <c r="BZ310" s="19"/>
      <c r="CA310" s="19"/>
      <c r="CB310" s="19"/>
      <c r="CC310" s="19"/>
      <c r="CD310" s="19"/>
      <c r="CE310" s="48"/>
      <c r="CF310" s="48"/>
      <c r="CG310" s="48"/>
      <c r="CH310" s="48"/>
      <c r="CI310" s="48"/>
      <c r="CJ310" s="48"/>
      <c r="CK310" s="48"/>
      <c r="CL310" s="48"/>
      <c r="CM310" s="48"/>
      <c r="CN310" s="48"/>
      <c r="CO310" s="48"/>
      <c r="CP310" s="48"/>
      <c r="CQ310" s="48"/>
      <c r="CR310" s="48"/>
      <c r="CS310" s="48"/>
      <c r="CT310" s="48"/>
      <c r="CU310" s="48"/>
      <c r="CV310" s="48"/>
      <c r="CW310" s="19"/>
      <c r="CX310" s="19"/>
      <c r="CY310" s="19"/>
      <c r="CZ310" s="19"/>
      <c r="DA310" s="21"/>
      <c r="DB310" s="21"/>
      <c r="DC310" s="79"/>
      <c r="DD310" s="79"/>
      <c r="DE310" s="79"/>
      <c r="DF310" s="79"/>
      <c r="DG310" s="79"/>
      <c r="DH310" s="51"/>
      <c r="DI310" s="39"/>
      <c r="DJ310" s="80"/>
      <c r="DK310" s="39"/>
      <c r="DL310" s="39"/>
      <c r="DM310" s="48"/>
      <c r="DN310" s="39"/>
      <c r="DO310" s="39"/>
      <c r="DP310" s="39"/>
      <c r="DQ310" s="39"/>
      <c r="DR310" s="39"/>
      <c r="DS310" s="39"/>
      <c r="DT310" s="39"/>
      <c r="DU310" s="19"/>
      <c r="DV310" s="40"/>
      <c r="DW310" s="40"/>
      <c r="DX310" s="46"/>
      <c r="DY310" s="21"/>
      <c r="DZ310" s="19"/>
      <c r="EA310" s="19"/>
      <c r="EB310" s="19"/>
      <c r="EC310" s="48"/>
      <c r="ED310" s="48"/>
      <c r="EE310" s="22"/>
      <c r="EF310" s="22"/>
      <c r="EG310" s="22"/>
      <c r="EH310" s="22"/>
      <c r="EI310" s="22"/>
      <c r="EJ310" s="22"/>
      <c r="EK310" s="40"/>
      <c r="EL310" s="19"/>
      <c r="EM310" s="19"/>
      <c r="EN310" s="40"/>
      <c r="EO310" s="40"/>
      <c r="EP310" s="40"/>
      <c r="EQ310" s="21"/>
      <c r="ER310" s="21"/>
      <c r="ES310" s="21"/>
      <c r="ET310" s="21"/>
      <c r="EU310" s="19"/>
      <c r="EV310" s="21"/>
      <c r="EW310" s="39"/>
      <c r="EX310" s="39"/>
      <c r="EY310" s="39"/>
      <c r="EZ310" s="39"/>
      <c r="FA310" s="39"/>
      <c r="FB310" s="39"/>
      <c r="FC310" s="39"/>
      <c r="FD310" s="39"/>
      <c r="FE310" s="39"/>
      <c r="FF310" s="39"/>
      <c r="FG310" s="39"/>
      <c r="FH310" s="39"/>
      <c r="FI310" s="39"/>
      <c r="FJ310" s="19"/>
      <c r="FK310" s="19"/>
      <c r="FL310" s="19"/>
      <c r="FM310" s="19"/>
      <c r="FN310" s="19"/>
      <c r="FO310" s="22">
        <v>9959.61</v>
      </c>
      <c r="FP310" s="52">
        <v>10382.51</v>
      </c>
      <c r="FQ310" s="22"/>
      <c r="FR310" s="22" t="s">
        <v>633</v>
      </c>
      <c r="FS310" s="22" t="s">
        <v>633</v>
      </c>
      <c r="FT310" s="22"/>
      <c r="FU310" s="40" t="s">
        <v>657</v>
      </c>
      <c r="FV310" s="19"/>
      <c r="FW310" s="19"/>
      <c r="FX310" s="19"/>
      <c r="FY310" s="19"/>
      <c r="FZ310" s="19"/>
      <c r="GA310" s="19"/>
      <c r="GB310" s="19"/>
      <c r="GC310" s="20"/>
      <c r="GD310" s="20"/>
      <c r="GE310" s="19"/>
      <c r="GF310" s="21"/>
      <c r="GG310" s="19"/>
      <c r="GH310" s="19"/>
      <c r="GI310" s="19"/>
      <c r="GJ310" s="21"/>
      <c r="GK310" s="19"/>
      <c r="GL310" s="19"/>
      <c r="GM310" s="19"/>
      <c r="GN310" s="19"/>
      <c r="GO310" s="22">
        <v>10382.51</v>
      </c>
      <c r="GP310" s="22">
        <v>10697.6</v>
      </c>
      <c r="GQ310" s="22"/>
      <c r="GR310" s="22" t="s">
        <v>633</v>
      </c>
      <c r="GS310" s="22" t="s">
        <v>633</v>
      </c>
      <c r="GT310" s="22"/>
      <c r="GU310" s="40" t="s">
        <v>657</v>
      </c>
      <c r="GV310" s="19"/>
      <c r="GW310" s="19"/>
      <c r="GX310" s="19"/>
      <c r="GY310" s="19"/>
      <c r="GZ310" s="23"/>
      <c r="HA310" s="22">
        <v>10697.6</v>
      </c>
      <c r="HB310" s="22">
        <v>11037.88</v>
      </c>
      <c r="HC310" s="22"/>
      <c r="HD310" s="52" t="s">
        <v>633</v>
      </c>
      <c r="HE310" s="22" t="s">
        <v>633</v>
      </c>
      <c r="HF310" s="22"/>
      <c r="HG310" s="236" t="s">
        <v>657</v>
      </c>
    </row>
    <row r="311" spans="2:215" ht="15.6" customHeight="1">
      <c r="B311" s="15"/>
      <c r="C311" s="81" t="s">
        <v>636</v>
      </c>
      <c r="D311" s="144"/>
      <c r="E311" s="144"/>
      <c r="F311" s="74"/>
      <c r="G311" s="74"/>
      <c r="H311" s="74"/>
      <c r="I311" s="144"/>
      <c r="J311" s="74"/>
      <c r="K311" s="74"/>
      <c r="L311" s="74"/>
      <c r="M311" s="144"/>
      <c r="N311" s="144"/>
      <c r="O311" s="74"/>
      <c r="P311" s="74"/>
      <c r="Q311" s="74"/>
      <c r="R311" s="144"/>
      <c r="S311" s="74"/>
      <c r="T311" s="74"/>
      <c r="U311" s="74"/>
      <c r="V311" s="130"/>
      <c r="W311" s="130"/>
      <c r="X311" s="22"/>
      <c r="Y311" s="130"/>
      <c r="Z311" s="22"/>
      <c r="AA311" s="130"/>
      <c r="AB311" s="22"/>
      <c r="AC311" s="130"/>
      <c r="AD311" s="130"/>
      <c r="AE311" s="22"/>
      <c r="AF311" s="22"/>
      <c r="AG311" s="22"/>
      <c r="AH311" s="52"/>
      <c r="AI311" s="52"/>
      <c r="AJ311" s="22"/>
      <c r="AK311" s="52"/>
      <c r="AL311" s="22"/>
      <c r="AM311" s="52"/>
      <c r="AN311" s="22"/>
      <c r="AO311" s="22"/>
      <c r="AP311" s="22"/>
      <c r="AQ311" s="22"/>
      <c r="AR311" s="22"/>
      <c r="AS311" s="22"/>
      <c r="AT311" s="22"/>
      <c r="AU311" s="22"/>
      <c r="AV311" s="77"/>
      <c r="AW311" s="77"/>
      <c r="AX311" s="78"/>
      <c r="AY311" s="22"/>
      <c r="AZ311" s="22"/>
      <c r="BA311" s="22"/>
      <c r="BB311" s="22"/>
      <c r="BC311" s="22"/>
      <c r="BD311" s="22"/>
      <c r="BE311" s="22"/>
      <c r="BF311" s="22"/>
      <c r="BG311" s="22"/>
      <c r="BH311" s="22"/>
      <c r="BI311" s="22"/>
      <c r="BJ311" s="40"/>
      <c r="BK311" s="19"/>
      <c r="BL311" s="19"/>
      <c r="BM311" s="19"/>
      <c r="BN311" s="19"/>
      <c r="BO311" s="19"/>
      <c r="BP311" s="19"/>
      <c r="BQ311" s="19"/>
      <c r="BR311" s="19"/>
      <c r="BS311" s="19"/>
      <c r="BT311" s="19"/>
      <c r="BU311" s="19"/>
      <c r="BV311" s="19"/>
      <c r="BW311" s="19"/>
      <c r="BX311" s="19"/>
      <c r="BY311" s="19"/>
      <c r="BZ311" s="19"/>
      <c r="CA311" s="19"/>
      <c r="CB311" s="19"/>
      <c r="CC311" s="19"/>
      <c r="CD311" s="19"/>
      <c r="CE311" s="48"/>
      <c r="CF311" s="48"/>
      <c r="CG311" s="48"/>
      <c r="CH311" s="48"/>
      <c r="CI311" s="48"/>
      <c r="CJ311" s="48"/>
      <c r="CK311" s="48"/>
      <c r="CL311" s="48"/>
      <c r="CM311" s="48"/>
      <c r="CN311" s="48"/>
      <c r="CO311" s="48"/>
      <c r="CP311" s="48"/>
      <c r="CQ311" s="48"/>
      <c r="CR311" s="48"/>
      <c r="CS311" s="48"/>
      <c r="CT311" s="48"/>
      <c r="CU311" s="48"/>
      <c r="CV311" s="48"/>
      <c r="CW311" s="19"/>
      <c r="CX311" s="19"/>
      <c r="CY311" s="19"/>
      <c r="CZ311" s="19"/>
      <c r="DA311" s="21"/>
      <c r="DB311" s="21"/>
      <c r="DC311" s="79"/>
      <c r="DD311" s="79"/>
      <c r="DE311" s="79"/>
      <c r="DF311" s="79"/>
      <c r="DG311" s="79"/>
      <c r="DH311" s="51"/>
      <c r="DI311" s="39"/>
      <c r="DJ311" s="80"/>
      <c r="DK311" s="39"/>
      <c r="DL311" s="39"/>
      <c r="DM311" s="48"/>
      <c r="DN311" s="39"/>
      <c r="DO311" s="39"/>
      <c r="DP311" s="39"/>
      <c r="DQ311" s="39"/>
      <c r="DR311" s="39"/>
      <c r="DS311" s="39"/>
      <c r="DT311" s="39"/>
      <c r="DU311" s="19"/>
      <c r="DV311" s="40"/>
      <c r="DW311" s="40"/>
      <c r="DX311" s="46"/>
      <c r="DY311" s="21"/>
      <c r="DZ311" s="19"/>
      <c r="EA311" s="19"/>
      <c r="EB311" s="19"/>
      <c r="EC311" s="48"/>
      <c r="ED311" s="48"/>
      <c r="EE311" s="22"/>
      <c r="EF311" s="22"/>
      <c r="EG311" s="22"/>
      <c r="EH311" s="22"/>
      <c r="EI311" s="22"/>
      <c r="EJ311" s="22"/>
      <c r="EK311" s="40"/>
      <c r="EL311" s="19"/>
      <c r="EM311" s="19"/>
      <c r="EN311" s="40"/>
      <c r="EO311" s="40"/>
      <c r="EP311" s="40"/>
      <c r="EQ311" s="21"/>
      <c r="ER311" s="21"/>
      <c r="ES311" s="21"/>
      <c r="ET311" s="21"/>
      <c r="EU311" s="19"/>
      <c r="EV311" s="21"/>
      <c r="EW311" s="39"/>
      <c r="EX311" s="39"/>
      <c r="EY311" s="39"/>
      <c r="EZ311" s="39"/>
      <c r="FA311" s="39"/>
      <c r="FB311" s="39"/>
      <c r="FC311" s="39"/>
      <c r="FD311" s="39"/>
      <c r="FE311" s="39"/>
      <c r="FF311" s="39"/>
      <c r="FG311" s="39"/>
      <c r="FH311" s="39"/>
      <c r="FI311" s="39"/>
      <c r="FJ311" s="19"/>
      <c r="FK311" s="19"/>
      <c r="FL311" s="19"/>
      <c r="FM311" s="19"/>
      <c r="FN311" s="19"/>
      <c r="FO311" s="22"/>
      <c r="FP311" s="52"/>
      <c r="FQ311" s="22"/>
      <c r="FR311" s="22"/>
      <c r="FS311" s="22"/>
      <c r="FT311" s="22"/>
      <c r="FU311" s="40"/>
      <c r="FV311" s="19"/>
      <c r="FW311" s="19"/>
      <c r="FX311" s="19"/>
      <c r="FY311" s="19"/>
      <c r="FZ311" s="19"/>
      <c r="GA311" s="19"/>
      <c r="GB311" s="19"/>
      <c r="GC311" s="20"/>
      <c r="GD311" s="20"/>
      <c r="GE311" s="21"/>
      <c r="GF311" s="21"/>
      <c r="GG311" s="21"/>
      <c r="GH311" s="21"/>
      <c r="GI311" s="21"/>
      <c r="GJ311" s="21"/>
      <c r="GK311" s="21"/>
      <c r="GL311" s="21"/>
      <c r="GM311" s="19"/>
      <c r="GN311" s="19"/>
      <c r="GO311" s="22"/>
      <c r="GP311" s="22"/>
      <c r="GQ311" s="22"/>
      <c r="GR311" s="22"/>
      <c r="GS311" s="22"/>
      <c r="GT311" s="22"/>
      <c r="GU311" s="43"/>
      <c r="GV311" s="19"/>
      <c r="GW311" s="19"/>
      <c r="GX311" s="19"/>
      <c r="GY311" s="19"/>
      <c r="GZ311" s="23"/>
      <c r="HA311" s="22"/>
      <c r="HB311" s="22"/>
      <c r="HC311" s="22"/>
      <c r="HD311" s="22"/>
      <c r="HE311" s="22"/>
      <c r="HF311" s="22"/>
      <c r="HG311" s="233"/>
    </row>
    <row r="312" spans="2:215" ht="16.149999999999999" customHeight="1" thickBot="1">
      <c r="B312" s="15"/>
      <c r="C312" s="161" t="s">
        <v>641</v>
      </c>
      <c r="D312" s="82"/>
      <c r="E312" s="82"/>
      <c r="F312" s="74"/>
      <c r="G312" s="74"/>
      <c r="H312" s="74"/>
      <c r="I312" s="82"/>
      <c r="J312" s="82"/>
      <c r="K312" s="82"/>
      <c r="L312" s="82"/>
      <c r="M312" s="82"/>
      <c r="N312" s="82"/>
      <c r="O312" s="76"/>
      <c r="P312" s="76"/>
      <c r="Q312" s="76"/>
      <c r="R312" s="82"/>
      <c r="S312" s="82"/>
      <c r="T312" s="82"/>
      <c r="U312" s="82"/>
      <c r="V312" s="52"/>
      <c r="W312" s="52"/>
      <c r="X312" s="52"/>
      <c r="Y312" s="52"/>
      <c r="Z312" s="22"/>
      <c r="AA312" s="52"/>
      <c r="AB312" s="22"/>
      <c r="AC312" s="22"/>
      <c r="AD312" s="22"/>
      <c r="AE312" s="22"/>
      <c r="AF312" s="22"/>
      <c r="AG312" s="22"/>
      <c r="AH312" s="22"/>
      <c r="AI312" s="22"/>
      <c r="AJ312" s="52"/>
      <c r="AK312" s="22"/>
      <c r="AL312" s="22"/>
      <c r="AM312" s="22"/>
      <c r="AN312" s="22"/>
      <c r="AO312" s="22"/>
      <c r="AP312" s="22"/>
      <c r="AQ312" s="22"/>
      <c r="AR312" s="22"/>
      <c r="AS312" s="22"/>
      <c r="AT312" s="22"/>
      <c r="AU312" s="22"/>
      <c r="AV312" s="77"/>
      <c r="AW312" s="77"/>
      <c r="AX312" s="78"/>
      <c r="AY312" s="22"/>
      <c r="AZ312" s="22"/>
      <c r="BA312" s="22"/>
      <c r="BB312" s="22"/>
      <c r="BC312" s="22"/>
      <c r="BD312" s="22"/>
      <c r="BE312" s="22"/>
      <c r="BF312" s="22"/>
      <c r="BG312" s="22"/>
      <c r="BH312" s="22"/>
      <c r="BI312" s="22"/>
      <c r="BJ312" s="40"/>
      <c r="BK312" s="19"/>
      <c r="BL312" s="19"/>
      <c r="BM312" s="19"/>
      <c r="BN312" s="19"/>
      <c r="BO312" s="19"/>
      <c r="BP312" s="19"/>
      <c r="BQ312" s="19"/>
      <c r="BR312" s="19"/>
      <c r="BS312" s="19"/>
      <c r="BT312" s="19"/>
      <c r="BU312" s="19"/>
      <c r="BV312" s="19"/>
      <c r="BW312" s="19"/>
      <c r="BX312" s="19"/>
      <c r="BY312" s="19"/>
      <c r="BZ312" s="19"/>
      <c r="CA312" s="19"/>
      <c r="CB312" s="19"/>
      <c r="CC312" s="19"/>
      <c r="CD312" s="19"/>
      <c r="CE312" s="48"/>
      <c r="CF312" s="48"/>
      <c r="CG312" s="48"/>
      <c r="CH312" s="48"/>
      <c r="CI312" s="48"/>
      <c r="CJ312" s="48"/>
      <c r="CK312" s="48"/>
      <c r="CL312" s="48"/>
      <c r="CM312" s="48"/>
      <c r="CN312" s="48"/>
      <c r="CO312" s="48"/>
      <c r="CP312" s="48"/>
      <c r="CQ312" s="48"/>
      <c r="CR312" s="48"/>
      <c r="CS312" s="48"/>
      <c r="CT312" s="48"/>
      <c r="CU312" s="48"/>
      <c r="CV312" s="48"/>
      <c r="CW312" s="19"/>
      <c r="CX312" s="19"/>
      <c r="CY312" s="19"/>
      <c r="CZ312" s="19"/>
      <c r="DA312" s="21"/>
      <c r="DB312" s="21"/>
      <c r="DC312" s="79"/>
      <c r="DD312" s="79"/>
      <c r="DE312" s="79"/>
      <c r="DF312" s="79"/>
      <c r="DG312" s="79"/>
      <c r="DH312" s="51"/>
      <c r="DI312" s="39"/>
      <c r="DJ312" s="80"/>
      <c r="DK312" s="39"/>
      <c r="DL312" s="39"/>
      <c r="DM312" s="48"/>
      <c r="DN312" s="39"/>
      <c r="DO312" s="39"/>
      <c r="DP312" s="39"/>
      <c r="DQ312" s="39"/>
      <c r="DR312" s="39"/>
      <c r="DS312" s="39"/>
      <c r="DT312" s="39"/>
      <c r="DU312" s="19"/>
      <c r="DV312" s="40"/>
      <c r="DW312" s="40"/>
      <c r="DX312" s="21"/>
      <c r="DY312" s="21"/>
      <c r="DZ312" s="19"/>
      <c r="EA312" s="19"/>
      <c r="EB312" s="19"/>
      <c r="EC312" s="48"/>
      <c r="ED312" s="48"/>
      <c r="EE312" s="22"/>
      <c r="EF312" s="22"/>
      <c r="EG312" s="22"/>
      <c r="EH312" s="22"/>
      <c r="EI312" s="22"/>
      <c r="EJ312" s="22"/>
      <c r="EK312" s="83"/>
      <c r="EL312" s="19"/>
      <c r="EM312" s="19"/>
      <c r="EN312" s="146"/>
      <c r="EO312" s="146"/>
      <c r="EP312" s="146"/>
      <c r="EQ312" s="21"/>
      <c r="ER312" s="21"/>
      <c r="ES312" s="19"/>
      <c r="ET312" s="19"/>
      <c r="EU312" s="19"/>
      <c r="EV312" s="21"/>
      <c r="EW312" s="39"/>
      <c r="EX312" s="39"/>
      <c r="EY312" s="39"/>
      <c r="EZ312" s="39"/>
      <c r="FA312" s="39"/>
      <c r="FB312" s="39"/>
      <c r="FC312" s="39"/>
      <c r="FD312" s="39"/>
      <c r="FE312" s="39"/>
      <c r="FF312" s="39"/>
      <c r="FG312" s="39"/>
      <c r="FH312" s="39"/>
      <c r="FI312" s="39"/>
      <c r="FJ312" s="19"/>
      <c r="FK312" s="19"/>
      <c r="FL312" s="19"/>
      <c r="FM312" s="19"/>
      <c r="FN312" s="19"/>
      <c r="FO312" s="22">
        <v>266.52999999999997</v>
      </c>
      <c r="FP312" s="22">
        <v>273.74</v>
      </c>
      <c r="FQ312" s="22"/>
      <c r="FR312" s="22">
        <v>266.52999999999997</v>
      </c>
      <c r="FS312" s="22">
        <v>273.74</v>
      </c>
      <c r="FT312" s="22"/>
      <c r="FU312" s="83" t="s">
        <v>627</v>
      </c>
      <c r="FV312" s="19"/>
      <c r="FW312" s="19"/>
      <c r="FX312" s="19"/>
      <c r="FY312" s="19"/>
      <c r="FZ312" s="19"/>
      <c r="GA312" s="19"/>
      <c r="GB312" s="19"/>
      <c r="GC312" s="20"/>
      <c r="GD312" s="20"/>
      <c r="GE312" s="19"/>
      <c r="GF312" s="21"/>
      <c r="GG312" s="19"/>
      <c r="GH312" s="19"/>
      <c r="GI312" s="19"/>
      <c r="GJ312" s="21"/>
      <c r="GK312" s="19"/>
      <c r="GL312" s="19"/>
      <c r="GM312" s="19"/>
      <c r="GN312" s="19"/>
      <c r="GO312" s="57">
        <v>273.74</v>
      </c>
      <c r="GP312" s="57">
        <v>539.78</v>
      </c>
      <c r="GQ312" s="57"/>
      <c r="GR312" s="57">
        <v>273.74</v>
      </c>
      <c r="GS312" s="57">
        <v>539.78</v>
      </c>
      <c r="GT312" s="57"/>
      <c r="GU312" s="83" t="s">
        <v>627</v>
      </c>
      <c r="GV312" s="19"/>
      <c r="GW312" s="19"/>
      <c r="GX312" s="19"/>
      <c r="GY312" s="19"/>
      <c r="GZ312" s="19"/>
      <c r="HA312" s="22">
        <v>539.78</v>
      </c>
      <c r="HB312" s="22">
        <v>539.12</v>
      </c>
      <c r="HC312" s="22"/>
      <c r="HD312" s="22">
        <v>539.78</v>
      </c>
      <c r="HE312" s="22">
        <v>539.12</v>
      </c>
      <c r="HF312" s="22"/>
      <c r="HG312" s="235" t="s">
        <v>627</v>
      </c>
    </row>
    <row r="313" spans="2:215" ht="16.5" thickBot="1">
      <c r="B313" s="7" t="s">
        <v>444</v>
      </c>
      <c r="C313" s="80" t="s">
        <v>445</v>
      </c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>
        <f t="shared" si="1198"/>
        <v>0</v>
      </c>
      <c r="Y313" s="80"/>
      <c r="Z313" s="80">
        <f t="shared" si="1192"/>
        <v>0</v>
      </c>
      <c r="AA313" s="80"/>
      <c r="AB313" s="80">
        <f t="shared" si="1193"/>
        <v>0</v>
      </c>
      <c r="AC313" s="80"/>
      <c r="AD313" s="80"/>
      <c r="AE313" s="80">
        <f t="shared" si="1185"/>
        <v>0</v>
      </c>
      <c r="AF313" s="80"/>
      <c r="AG313" s="80">
        <f>+IF(AC313=0,,AF313/AC313*100)</f>
        <v>0</v>
      </c>
      <c r="AH313" s="80"/>
      <c r="AI313" s="80"/>
      <c r="AJ313" s="80">
        <f t="shared" si="1194"/>
        <v>0</v>
      </c>
      <c r="AK313" s="80"/>
      <c r="AL313" s="80">
        <f t="shared" si="1195"/>
        <v>0</v>
      </c>
      <c r="AM313" s="80"/>
      <c r="AN313" s="80">
        <f t="shared" si="1196"/>
        <v>0</v>
      </c>
      <c r="AO313" s="80">
        <f t="shared" si="1199"/>
        <v>0</v>
      </c>
      <c r="AP313" s="80">
        <f t="shared" si="1197"/>
        <v>0</v>
      </c>
      <c r="AQ313" s="80"/>
      <c r="AR313" s="80"/>
      <c r="AS313" s="80">
        <f t="shared" si="1186"/>
        <v>0</v>
      </c>
      <c r="AT313" s="80"/>
      <c r="AU313" s="80">
        <f>+IF(AQ313=0,,AT313/AQ313*100)</f>
        <v>0</v>
      </c>
      <c r="AV313" s="77"/>
      <c r="AW313" s="77">
        <f>+CY313/$CY$313*100</f>
        <v>100</v>
      </c>
      <c r="AX313" s="78"/>
      <c r="AY313" s="80">
        <f t="shared" ref="AY313:AY345" si="1240">+AZ313+BA313+BB313</f>
        <v>0</v>
      </c>
      <c r="AZ313" s="80"/>
      <c r="BA313" s="80"/>
      <c r="BB313" s="80"/>
      <c r="BC313" s="80"/>
      <c r="BD313" s="80"/>
      <c r="BE313" s="22">
        <f t="shared" ref="BE313:BE345" si="1241">+IF(BC313=0,,BD313/BC313*100)</f>
        <v>0</v>
      </c>
      <c r="BF313" s="80"/>
      <c r="BG313" s="80"/>
      <c r="BH313" s="22">
        <f t="shared" ref="BH313:BH345" si="1242">+IF(BF313=0,,BG313/BF313*100)</f>
        <v>0</v>
      </c>
      <c r="BI313" s="22"/>
      <c r="BJ313" s="40"/>
      <c r="BK313" s="80">
        <f t="shared" si="1140"/>
        <v>0</v>
      </c>
      <c r="BL313" s="80">
        <f t="shared" si="1200"/>
        <v>0</v>
      </c>
      <c r="BM313" s="80">
        <f t="shared" si="1201"/>
        <v>0</v>
      </c>
      <c r="BN313" s="80">
        <f t="shared" si="1202"/>
        <v>0</v>
      </c>
      <c r="BO313" s="80">
        <f t="shared" si="1144"/>
        <v>0</v>
      </c>
      <c r="BP313" s="80">
        <f t="shared" si="1203"/>
        <v>0</v>
      </c>
      <c r="BQ313" s="80">
        <f t="shared" si="1204"/>
        <v>0</v>
      </c>
      <c r="BR313" s="80">
        <f t="shared" si="1205"/>
        <v>0</v>
      </c>
      <c r="BS313" s="80">
        <f t="shared" si="1147"/>
        <v>0</v>
      </c>
      <c r="BT313" s="80">
        <f t="shared" si="1206"/>
        <v>0</v>
      </c>
      <c r="BU313" s="80">
        <f t="shared" si="1207"/>
        <v>0</v>
      </c>
      <c r="BV313" s="80">
        <f t="shared" si="1208"/>
        <v>0</v>
      </c>
      <c r="BW313" s="80"/>
      <c r="BX313" s="48">
        <f>+SUM(BX314:BX331)</f>
        <v>1234.638466101695</v>
      </c>
      <c r="BY313" s="48">
        <f>+SUM(BY314:BY331)</f>
        <v>544.50267000000008</v>
      </c>
      <c r="BZ313" s="80">
        <f>+AC313*R313/1000</f>
        <v>0</v>
      </c>
      <c r="CA313" s="80"/>
      <c r="CB313" s="48">
        <f>+SUM(CB314:CB331)</f>
        <v>1373.7057575506174</v>
      </c>
      <c r="CC313" s="48">
        <f>+SUM(CC314:CC331)</f>
        <v>608.20339999999999</v>
      </c>
      <c r="CD313" s="80">
        <f t="shared" ref="CD313:CD348" si="1243">+AF313*R313/1000</f>
        <v>0</v>
      </c>
      <c r="CE313" s="80">
        <f t="shared" si="1157"/>
        <v>0</v>
      </c>
      <c r="CF313" s="80">
        <f t="shared" si="1158"/>
        <v>0</v>
      </c>
      <c r="CG313" s="80">
        <f t="shared" si="1159"/>
        <v>0</v>
      </c>
      <c r="CH313" s="80">
        <f t="shared" si="1160"/>
        <v>0</v>
      </c>
      <c r="CI313" s="80">
        <f t="shared" si="1161"/>
        <v>0</v>
      </c>
      <c r="CJ313" s="80">
        <f t="shared" si="1162"/>
        <v>0</v>
      </c>
      <c r="CK313" s="80">
        <f t="shared" si="1163"/>
        <v>0</v>
      </c>
      <c r="CL313" s="80">
        <f t="shared" si="1164"/>
        <v>0</v>
      </c>
      <c r="CM313" s="80">
        <f t="shared" si="1165"/>
        <v>0</v>
      </c>
      <c r="CN313" s="80">
        <f t="shared" ref="CN313:CN348" si="1244">+IF((D313+D313+D313)=0,,(BK313+BO313+BS313)/(D313+D313+D313))*1000</f>
        <v>0</v>
      </c>
      <c r="CO313" s="80">
        <f t="shared" si="1166"/>
        <v>0</v>
      </c>
      <c r="CP313" s="80">
        <f t="shared" si="1167"/>
        <v>0</v>
      </c>
      <c r="CQ313" s="80">
        <f t="shared" si="1168"/>
        <v>0</v>
      </c>
      <c r="CR313" s="80">
        <f t="shared" si="1169"/>
        <v>0</v>
      </c>
      <c r="CS313" s="80">
        <f t="shared" si="1170"/>
        <v>0</v>
      </c>
      <c r="CT313" s="80">
        <f t="shared" si="1171"/>
        <v>0</v>
      </c>
      <c r="CU313" s="80">
        <f t="shared" ref="CU313:CU348" si="1245">+IF((M313+M313)=0,,(CA313+BW313)/(M313+M313))*1000</f>
        <v>0</v>
      </c>
      <c r="CV313" s="80">
        <f t="shared" si="1172"/>
        <v>0</v>
      </c>
      <c r="CW313" s="48" t="e">
        <f>+SUM(CW314:CW331)</f>
        <v>#REF!</v>
      </c>
      <c r="CX313" s="48" t="e">
        <f>+SUM(CX314:CX331)</f>
        <v>#REF!</v>
      </c>
      <c r="CY313" s="48">
        <f>+SUM(CY314:CY331)</f>
        <v>1294.6517088054848</v>
      </c>
      <c r="CZ313" s="48">
        <f>+SUM(CZ314:CZ331)</f>
        <v>1864.4863135280002</v>
      </c>
      <c r="DA313" s="20" t="e">
        <f t="shared" ref="DA313:DA348" si="1246">+IF(CX313=0,,CW313/CX313*100)</f>
        <v>#REF!</v>
      </c>
      <c r="DB313" s="20">
        <f t="shared" ref="DB313:DB348" si="1247">+IF(CZ313=0,,CY313/CZ313*100)</f>
        <v>69.43744769870321</v>
      </c>
      <c r="DC313" s="20" t="e">
        <f t="shared" si="1177"/>
        <v>#REF!</v>
      </c>
      <c r="DD313" s="20" t="e">
        <f t="shared" si="1177"/>
        <v>#REF!</v>
      </c>
      <c r="DE313" s="79">
        <f t="shared" ref="DE313:DF313" si="1248">+(O313+S313)*AC313/1000</f>
        <v>0</v>
      </c>
      <c r="DF313" s="79">
        <f t="shared" si="1248"/>
        <v>0</v>
      </c>
      <c r="DG313" s="79">
        <f t="shared" ref="DG313:DG348" si="1249">+AF313*(Q313+U313)/1000</f>
        <v>0</v>
      </c>
      <c r="DH313" s="51">
        <f t="shared" ref="DH313:DH348" si="1250">+DE313+DF313+DG313</f>
        <v>0</v>
      </c>
      <c r="DI313" s="39"/>
      <c r="DJ313" s="80">
        <f t="shared" si="1179"/>
        <v>0</v>
      </c>
      <c r="DK313" s="39">
        <f t="shared" si="1180"/>
        <v>0</v>
      </c>
      <c r="DL313" s="39">
        <f t="shared" si="1181"/>
        <v>0</v>
      </c>
      <c r="DM313" s="48">
        <f>+AT313-'[2]тарифы (12-13) население 15%'!AP389</f>
        <v>0</v>
      </c>
      <c r="DN313" s="39"/>
      <c r="DO313" s="39"/>
      <c r="DP313" s="39"/>
      <c r="DQ313" s="39"/>
      <c r="DR313" s="39"/>
      <c r="DS313" s="39"/>
      <c r="DT313" s="39"/>
      <c r="DU313" s="19">
        <f t="shared" ref="DU313:DU345" si="1251">+(BF313*AZ313)/1.18</f>
        <v>0</v>
      </c>
      <c r="DV313" s="42">
        <f>+SUM(DV314:DV331)</f>
        <v>28500.433884162874</v>
      </c>
      <c r="DW313" s="42">
        <f>+SUM(DW314:DW331)</f>
        <v>62969.130955153596</v>
      </c>
      <c r="DX313" s="42">
        <f>+'[1]тарифы (НВВ) население на 4,2%'!CO403</f>
        <v>55.44825661281515</v>
      </c>
      <c r="DY313" s="42">
        <f t="shared" ref="DY313:DY344" si="1252">+IF(DW313=0,,DV313/DW313*100)</f>
        <v>45.260961127859275</v>
      </c>
      <c r="DZ313" s="19">
        <f t="shared" ref="DZ313:DZ345" si="1253">+BC313*AY313/1000</f>
        <v>0</v>
      </c>
      <c r="EA313" s="19">
        <f t="shared" ref="EA313:EA345" si="1254">+BD313*AY313/1000</f>
        <v>0</v>
      </c>
      <c r="EB313" s="19"/>
      <c r="EC313" s="22">
        <f>+SUM(EC314:EC331)</f>
        <v>32261.525863745763</v>
      </c>
      <c r="ED313" s="22">
        <f>+SUM(ED314:ED331)</f>
        <v>33117.087135661015</v>
      </c>
      <c r="EE313" s="80"/>
      <c r="EF313" s="80"/>
      <c r="EG313" s="22">
        <f t="shared" si="1238"/>
        <v>0</v>
      </c>
      <c r="EH313" s="80"/>
      <c r="EI313" s="80"/>
      <c r="EJ313" s="22">
        <f t="shared" si="1239"/>
        <v>0</v>
      </c>
      <c r="EK313" s="40"/>
      <c r="EL313" s="40"/>
      <c r="EM313" s="40"/>
      <c r="EN313" s="146">
        <f>+SUM(EN314:EN331)</f>
        <v>31914.36520983051</v>
      </c>
      <c r="EO313" s="146">
        <f>+SUM(EO314:EO331)</f>
        <v>68445.806223499996</v>
      </c>
      <c r="EP313" s="146" t="e">
        <f>+$EN$442/$EN$445*EN313</f>
        <v>#REF!</v>
      </c>
      <c r="EQ313" s="42">
        <f t="shared" si="1210"/>
        <v>46.627203287837261</v>
      </c>
      <c r="ER313" s="42" t="e">
        <f>+IF((EN313+EP313)=0,,(EN313+EP313)/(EO313+EP313))*100</f>
        <v>#REF!</v>
      </c>
      <c r="ES313" s="42"/>
      <c r="ET313" s="42"/>
      <c r="EU313" s="19">
        <f t="shared" si="1222"/>
        <v>0</v>
      </c>
      <c r="EV313" s="42"/>
      <c r="EW313" s="39"/>
      <c r="EX313" s="39">
        <f t="shared" ref="EX313:EX338" si="1255">+BD313*AY313</f>
        <v>0</v>
      </c>
      <c r="EY313" s="39">
        <f t="shared" si="1191"/>
        <v>0</v>
      </c>
      <c r="EZ313" s="39"/>
      <c r="FA313" s="39"/>
      <c r="FB313" s="39"/>
      <c r="FC313" s="39"/>
      <c r="FD313" s="39"/>
      <c r="FE313" s="39"/>
      <c r="FF313" s="39"/>
      <c r="FG313" s="39"/>
      <c r="FH313" s="39"/>
      <c r="FI313" s="39"/>
      <c r="FJ313" s="41">
        <f>+SUM(FJ314:FJ331)</f>
        <v>34522.912196779667</v>
      </c>
      <c r="FK313" s="41">
        <f>+SUM(FK314:FK331)</f>
        <v>36531.422458584741</v>
      </c>
      <c r="FL313" s="41">
        <f t="shared" si="1211"/>
        <v>71054.334655364408</v>
      </c>
      <c r="FM313" s="40"/>
      <c r="FN313" s="40"/>
      <c r="FO313" s="80">
        <f t="shared" si="1212"/>
        <v>0</v>
      </c>
      <c r="FP313" s="80"/>
      <c r="FQ313" s="22"/>
      <c r="FR313" s="80">
        <f t="shared" si="1213"/>
        <v>0</v>
      </c>
      <c r="FS313" s="80"/>
      <c r="FT313" s="22"/>
      <c r="FU313" s="40"/>
      <c r="FV313" s="41">
        <f t="shared" ref="FV313:GB313" si="1256">+SUM(FV314:FV331)</f>
        <v>0</v>
      </c>
      <c r="FW313" s="41">
        <f t="shared" si="1256"/>
        <v>0</v>
      </c>
      <c r="FX313" s="41">
        <f t="shared" si="1256"/>
        <v>0</v>
      </c>
      <c r="FY313" s="41">
        <f t="shared" si="1256"/>
        <v>0</v>
      </c>
      <c r="FZ313" s="41">
        <f t="shared" si="1256"/>
        <v>0</v>
      </c>
      <c r="GA313" s="41">
        <f t="shared" si="1256"/>
        <v>0</v>
      </c>
      <c r="GB313" s="41">
        <f t="shared" si="1256"/>
        <v>0</v>
      </c>
      <c r="GC313" s="20">
        <f t="shared" si="1215"/>
        <v>0</v>
      </c>
      <c r="GD313" s="20">
        <f t="shared" si="1216"/>
        <v>0</v>
      </c>
      <c r="GE313" s="42"/>
      <c r="GF313" s="42"/>
      <c r="GG313" s="42"/>
      <c r="GH313" s="42"/>
      <c r="GI313" s="42"/>
      <c r="GJ313" s="42"/>
      <c r="GK313" s="42"/>
      <c r="GL313" s="42"/>
      <c r="GM313" s="40"/>
      <c r="GN313" s="40"/>
      <c r="GO313" s="80"/>
      <c r="GP313" s="80"/>
      <c r="GQ313" s="22"/>
      <c r="GR313" s="80"/>
      <c r="GS313" s="80"/>
      <c r="GT313" s="22"/>
      <c r="GU313" s="43"/>
      <c r="GV313" s="41"/>
      <c r="GW313" s="41"/>
      <c r="GX313" s="145">
        <f>+SUM(GX314:GX331)</f>
        <v>0</v>
      </c>
      <c r="GY313" s="145">
        <f>+SUM(GY314:GY331)</f>
        <v>0</v>
      </c>
      <c r="GZ313" s="44">
        <f t="shared" ref="GZ313" si="1257">+IF(GY313=0,,GX313/GY313*100)</f>
        <v>0</v>
      </c>
      <c r="HA313" s="80"/>
      <c r="HB313" s="80"/>
      <c r="HC313" s="22"/>
      <c r="HD313" s="80"/>
      <c r="HE313" s="80"/>
      <c r="HF313" s="22"/>
      <c r="HG313" s="233"/>
    </row>
    <row r="314" spans="2:215" ht="15.75">
      <c r="B314" s="10" t="s">
        <v>446</v>
      </c>
      <c r="C314" s="81" t="s">
        <v>152</v>
      </c>
      <c r="D314" s="143"/>
      <c r="E314" s="73"/>
      <c r="F314" s="74"/>
      <c r="G314" s="74"/>
      <c r="H314" s="74"/>
      <c r="I314" s="73"/>
      <c r="J314" s="74"/>
      <c r="K314" s="74"/>
      <c r="L314" s="74"/>
      <c r="M314" s="191"/>
      <c r="N314" s="191"/>
      <c r="O314" s="74"/>
      <c r="P314" s="74"/>
      <c r="Q314" s="74"/>
      <c r="R314" s="191"/>
      <c r="S314" s="74"/>
      <c r="T314" s="74"/>
      <c r="U314" s="74"/>
      <c r="V314" s="52"/>
      <c r="W314" s="52"/>
      <c r="X314" s="52"/>
      <c r="Y314" s="52"/>
      <c r="Z314" s="22"/>
      <c r="AA314" s="52"/>
      <c r="AB314" s="22"/>
      <c r="AC314" s="52"/>
      <c r="AD314" s="22"/>
      <c r="AE314" s="22"/>
      <c r="AF314" s="22"/>
      <c r="AG314" s="22">
        <f t="shared" ref="AG314:AG345" si="1258">+IF(AD314=0,,AF314/AD314*100)</f>
        <v>0</v>
      </c>
      <c r="AH314" s="52"/>
      <c r="AI314" s="52"/>
      <c r="AJ314" s="52"/>
      <c r="AK314" s="52"/>
      <c r="AL314" s="22"/>
      <c r="AM314" s="52"/>
      <c r="AN314" s="22"/>
      <c r="AO314" s="22"/>
      <c r="AP314" s="22"/>
      <c r="AQ314" s="22"/>
      <c r="AR314" s="22"/>
      <c r="AS314" s="22"/>
      <c r="AT314" s="22"/>
      <c r="AU314" s="22">
        <f t="shared" si="1237"/>
        <v>0</v>
      </c>
      <c r="AV314" s="77"/>
      <c r="AW314" s="77"/>
      <c r="AX314" s="78"/>
      <c r="AY314" s="22">
        <f t="shared" si="1240"/>
        <v>0</v>
      </c>
      <c r="AZ314" s="22"/>
      <c r="BA314" s="22"/>
      <c r="BB314" s="22"/>
      <c r="BC314" s="22"/>
      <c r="BD314" s="22"/>
      <c r="BE314" s="22">
        <f t="shared" si="1241"/>
        <v>0</v>
      </c>
      <c r="BF314" s="22"/>
      <c r="BG314" s="22"/>
      <c r="BH314" s="22">
        <f t="shared" si="1242"/>
        <v>0</v>
      </c>
      <c r="BI314" s="22"/>
      <c r="BJ314" s="40"/>
      <c r="BK314" s="19"/>
      <c r="BL314" s="19"/>
      <c r="BM314" s="19"/>
      <c r="BN314" s="19"/>
      <c r="BO314" s="19"/>
      <c r="BP314" s="19"/>
      <c r="BQ314" s="19"/>
      <c r="BR314" s="19"/>
      <c r="BS314" s="19"/>
      <c r="BT314" s="19"/>
      <c r="BU314" s="19"/>
      <c r="BV314" s="19"/>
      <c r="BW314" s="19"/>
      <c r="BX314" s="19"/>
      <c r="BY314" s="19"/>
      <c r="BZ314" s="19"/>
      <c r="CA314" s="19"/>
      <c r="CB314" s="19"/>
      <c r="CC314" s="19"/>
      <c r="CD314" s="19"/>
      <c r="CE314" s="48"/>
      <c r="CF314" s="48"/>
      <c r="CG314" s="48"/>
      <c r="CH314" s="48"/>
      <c r="CI314" s="48"/>
      <c r="CJ314" s="48"/>
      <c r="CK314" s="48"/>
      <c r="CL314" s="48"/>
      <c r="CM314" s="48"/>
      <c r="CN314" s="48"/>
      <c r="CO314" s="48"/>
      <c r="CP314" s="48"/>
      <c r="CQ314" s="48"/>
      <c r="CR314" s="48"/>
      <c r="CS314" s="48"/>
      <c r="CT314" s="48"/>
      <c r="CU314" s="48"/>
      <c r="CV314" s="48"/>
      <c r="CW314" s="19"/>
      <c r="CX314" s="19"/>
      <c r="CY314" s="19"/>
      <c r="CZ314" s="19"/>
      <c r="DA314" s="21"/>
      <c r="DB314" s="21"/>
      <c r="DC314" s="79"/>
      <c r="DD314" s="79"/>
      <c r="DE314" s="79"/>
      <c r="DF314" s="79"/>
      <c r="DG314" s="79"/>
      <c r="DH314" s="51"/>
      <c r="DI314" s="39"/>
      <c r="DJ314" s="80"/>
      <c r="DK314" s="39"/>
      <c r="DL314" s="39"/>
      <c r="DM314" s="48"/>
      <c r="DN314" s="39"/>
      <c r="DO314" s="39"/>
      <c r="DP314" s="39"/>
      <c r="DQ314" s="39"/>
      <c r="DR314" s="39"/>
      <c r="DS314" s="39"/>
      <c r="DT314" s="39"/>
      <c r="DU314" s="19">
        <f t="shared" si="1251"/>
        <v>0</v>
      </c>
      <c r="DV314" s="40">
        <f t="shared" ref="DV314:DV345" si="1259">+(BG314*AZ314)/1.18</f>
        <v>0</v>
      </c>
      <c r="DW314" s="40">
        <f t="shared" ref="DW314:DW345" si="1260">+BD314*AZ314</f>
        <v>0</v>
      </c>
      <c r="DX314" s="46"/>
      <c r="DY314" s="21">
        <f t="shared" si="1252"/>
        <v>0</v>
      </c>
      <c r="DZ314" s="19">
        <f t="shared" si="1253"/>
        <v>0</v>
      </c>
      <c r="EA314" s="19">
        <f t="shared" si="1254"/>
        <v>0</v>
      </c>
      <c r="EB314" s="19"/>
      <c r="EC314" s="48">
        <f t="shared" ref="EC314:EC324" si="1261">+(BC314-BF314/1.18)*AZ314/2</f>
        <v>0</v>
      </c>
      <c r="ED314" s="48">
        <f t="shared" ref="ED314:ED324" si="1262">+(BD314-BG314/1.18)*AZ314/2</f>
        <v>0</v>
      </c>
      <c r="EE314" s="22"/>
      <c r="EF314" s="22"/>
      <c r="EG314" s="22">
        <f t="shared" si="1238"/>
        <v>0</v>
      </c>
      <c r="EH314" s="22"/>
      <c r="EI314" s="22"/>
      <c r="EJ314" s="22">
        <f t="shared" si="1239"/>
        <v>0</v>
      </c>
      <c r="EK314" s="40"/>
      <c r="EL314" s="19"/>
      <c r="EM314" s="19"/>
      <c r="EN314" s="40">
        <f t="shared" si="1219"/>
        <v>0</v>
      </c>
      <c r="EO314" s="40">
        <f t="shared" si="1220"/>
        <v>0</v>
      </c>
      <c r="EP314" s="40"/>
      <c r="EQ314" s="21">
        <f t="shared" si="1210"/>
        <v>0</v>
      </c>
      <c r="ER314" s="21"/>
      <c r="ES314" s="21">
        <f t="shared" ref="ES314:ES326" si="1263">+EL314*EE314</f>
        <v>0</v>
      </c>
      <c r="ET314" s="21"/>
      <c r="EU314" s="19">
        <f t="shared" si="1222"/>
        <v>0</v>
      </c>
      <c r="EV314" s="21"/>
      <c r="EW314" s="39"/>
      <c r="EX314" s="39">
        <f t="shared" si="1255"/>
        <v>0</v>
      </c>
      <c r="EY314" s="39">
        <f t="shared" si="1191"/>
        <v>0</v>
      </c>
      <c r="EZ314" s="39"/>
      <c r="FA314" s="39"/>
      <c r="FB314" s="39"/>
      <c r="FC314" s="39"/>
      <c r="FD314" s="39"/>
      <c r="FE314" s="39"/>
      <c r="FF314" s="39"/>
      <c r="FG314" s="39"/>
      <c r="FH314" s="39"/>
      <c r="FI314" s="39"/>
      <c r="FJ314" s="19">
        <f t="shared" si="1223"/>
        <v>0</v>
      </c>
      <c r="FK314" s="19">
        <f t="shared" si="1224"/>
        <v>0</v>
      </c>
      <c r="FL314" s="19">
        <f t="shared" si="1211"/>
        <v>0</v>
      </c>
      <c r="FM314" s="19"/>
      <c r="FN314" s="19"/>
      <c r="FO314" s="22"/>
      <c r="FP314" s="22"/>
      <c r="FQ314" s="22"/>
      <c r="FR314" s="22"/>
      <c r="FS314" s="22"/>
      <c r="FT314" s="22"/>
      <c r="FU314" s="40"/>
      <c r="FV314" s="19"/>
      <c r="FW314" s="19"/>
      <c r="FX314" s="19"/>
      <c r="FY314" s="19"/>
      <c r="FZ314" s="19"/>
      <c r="GA314" s="19"/>
      <c r="GB314" s="19"/>
      <c r="GC314" s="20"/>
      <c r="GD314" s="20"/>
      <c r="GE314" s="21"/>
      <c r="GF314" s="21"/>
      <c r="GG314" s="21"/>
      <c r="GH314" s="21"/>
      <c r="GI314" s="21"/>
      <c r="GJ314" s="21"/>
      <c r="GK314" s="21"/>
      <c r="GL314" s="21"/>
      <c r="GM314" s="19"/>
      <c r="GN314" s="19"/>
      <c r="GO314" s="22"/>
      <c r="GP314" s="22"/>
      <c r="GQ314" s="22"/>
      <c r="GR314" s="22"/>
      <c r="GS314" s="22"/>
      <c r="GT314" s="22"/>
      <c r="GU314" s="43"/>
      <c r="GV314" s="19"/>
      <c r="GW314" s="19"/>
      <c r="GX314" s="19"/>
      <c r="GY314" s="19"/>
      <c r="GZ314" s="19"/>
      <c r="HA314" s="22"/>
      <c r="HB314" s="22"/>
      <c r="HC314" s="22"/>
      <c r="HD314" s="22"/>
      <c r="HE314" s="22"/>
      <c r="HF314" s="22"/>
      <c r="HG314" s="233"/>
    </row>
    <row r="315" spans="2:215" ht="15.75">
      <c r="B315" s="10"/>
      <c r="C315" s="161" t="s">
        <v>204</v>
      </c>
      <c r="D315" s="143"/>
      <c r="E315" s="73"/>
      <c r="F315" s="74"/>
      <c r="G315" s="74"/>
      <c r="H315" s="74"/>
      <c r="I315" s="73"/>
      <c r="J315" s="74"/>
      <c r="K315" s="74"/>
      <c r="L315" s="74"/>
      <c r="M315" s="191"/>
      <c r="N315" s="191"/>
      <c r="O315" s="74"/>
      <c r="P315" s="74"/>
      <c r="Q315" s="74"/>
      <c r="R315" s="191"/>
      <c r="S315" s="74"/>
      <c r="T315" s="74"/>
      <c r="U315" s="74"/>
      <c r="V315" s="52"/>
      <c r="W315" s="52"/>
      <c r="X315" s="52"/>
      <c r="Y315" s="52"/>
      <c r="Z315" s="22"/>
      <c r="AA315" s="52"/>
      <c r="AB315" s="22"/>
      <c r="AC315" s="52"/>
      <c r="AD315" s="52">
        <v>2523.4</v>
      </c>
      <c r="AE315" s="22">
        <f>+IF(AC315=0,,AF315/AC315*100)</f>
        <v>0</v>
      </c>
      <c r="AF315" s="22">
        <v>2523.4</v>
      </c>
      <c r="AG315" s="22">
        <f t="shared" si="1258"/>
        <v>100</v>
      </c>
      <c r="AH315" s="52"/>
      <c r="AI315" s="52"/>
      <c r="AJ315" s="52"/>
      <c r="AK315" s="52"/>
      <c r="AL315" s="22"/>
      <c r="AM315" s="52"/>
      <c r="AN315" s="22"/>
      <c r="AO315" s="22"/>
      <c r="AP315" s="22"/>
      <c r="AQ315" s="22"/>
      <c r="AR315" s="22">
        <v>970</v>
      </c>
      <c r="AS315" s="22">
        <f>+IF(AQ315=0,,AT315/AQ315*100)</f>
        <v>0</v>
      </c>
      <c r="AT315" s="22">
        <v>1083.49</v>
      </c>
      <c r="AU315" s="22">
        <f t="shared" si="1237"/>
        <v>111.7</v>
      </c>
      <c r="AV315" s="77"/>
      <c r="AW315" s="77"/>
      <c r="AX315" s="78" t="s">
        <v>139</v>
      </c>
      <c r="AY315" s="22">
        <f t="shared" si="1240"/>
        <v>26.546559999999996</v>
      </c>
      <c r="AZ315" s="22">
        <f>+[8]БПр!$BX$1302/1000</f>
        <v>14.503149999999998</v>
      </c>
      <c r="BA315" s="22">
        <f>+[8]БПр!$BW$1302/1000</f>
        <v>9.9433299999999996</v>
      </c>
      <c r="BB315" s="22">
        <f>+([8]БПр!$BY$1302+[8]БПр!$BP$1302)/1000</f>
        <v>2.1000799999999997</v>
      </c>
      <c r="BC315" s="22">
        <v>2523.4</v>
      </c>
      <c r="BD315" s="22">
        <v>2629.38</v>
      </c>
      <c r="BE315" s="22">
        <f t="shared" si="1241"/>
        <v>104.19988903859871</v>
      </c>
      <c r="BF315" s="22">
        <v>1083.49</v>
      </c>
      <c r="BG315" s="22">
        <v>1128.99</v>
      </c>
      <c r="BH315" s="22">
        <f t="shared" si="1242"/>
        <v>104.19939270320909</v>
      </c>
      <c r="BI315" s="22">
        <f>+BD315-BG315/1.18</f>
        <v>1672.6088135593222</v>
      </c>
      <c r="BJ315" s="40" t="s">
        <v>140</v>
      </c>
      <c r="BK315" s="19"/>
      <c r="BL315" s="19"/>
      <c r="BM315" s="19"/>
      <c r="BN315" s="19"/>
      <c r="BO315" s="19"/>
      <c r="BP315" s="19"/>
      <c r="BQ315" s="19"/>
      <c r="BR315" s="19"/>
      <c r="BS315" s="19"/>
      <c r="BT315" s="19"/>
      <c r="BU315" s="19"/>
      <c r="BV315" s="19"/>
      <c r="BW315" s="19"/>
      <c r="BX315" s="19"/>
      <c r="BY315" s="19"/>
      <c r="BZ315" s="19"/>
      <c r="CA315" s="19"/>
      <c r="CB315" s="19"/>
      <c r="CC315" s="19"/>
      <c r="CD315" s="19"/>
      <c r="CE315" s="48"/>
      <c r="CF315" s="48"/>
      <c r="CG315" s="48"/>
      <c r="CH315" s="48"/>
      <c r="CI315" s="48"/>
      <c r="CJ315" s="48"/>
      <c r="CK315" s="48"/>
      <c r="CL315" s="48"/>
      <c r="CM315" s="48"/>
      <c r="CN315" s="48"/>
      <c r="CO315" s="48"/>
      <c r="CP315" s="48"/>
      <c r="CQ315" s="48"/>
      <c r="CR315" s="48"/>
      <c r="CS315" s="48"/>
      <c r="CT315" s="48"/>
      <c r="CU315" s="48"/>
      <c r="CV315" s="48"/>
      <c r="CW315" s="19"/>
      <c r="CX315" s="19"/>
      <c r="CY315" s="19"/>
      <c r="CZ315" s="19"/>
      <c r="DA315" s="21"/>
      <c r="DB315" s="21"/>
      <c r="DC315" s="79"/>
      <c r="DD315" s="79"/>
      <c r="DE315" s="79"/>
      <c r="DF315" s="79"/>
      <c r="DG315" s="79"/>
      <c r="DH315" s="51"/>
      <c r="DI315" s="39"/>
      <c r="DJ315" s="80"/>
      <c r="DK315" s="39"/>
      <c r="DL315" s="39"/>
      <c r="DM315" s="48"/>
      <c r="DN315" s="39"/>
      <c r="DO315" s="39"/>
      <c r="DP315" s="39"/>
      <c r="DQ315" s="39"/>
      <c r="DR315" s="39"/>
      <c r="DS315" s="166">
        <f>+BC315*1.18</f>
        <v>2977.6120000000001</v>
      </c>
      <c r="DT315" s="39"/>
      <c r="DU315" s="19">
        <f t="shared" si="1251"/>
        <v>13316.964401271185</v>
      </c>
      <c r="DV315" s="40">
        <f t="shared" si="1259"/>
        <v>13876.196032627118</v>
      </c>
      <c r="DW315" s="40">
        <f t="shared" si="1260"/>
        <v>38134.292546999997</v>
      </c>
      <c r="DX315" s="21">
        <f>+'[1]тарифы (НВВ) население на 4,2%'!CO405</f>
        <v>26.048271780065228</v>
      </c>
      <c r="DY315" s="21">
        <f t="shared" si="1252"/>
        <v>36.387710655769723</v>
      </c>
      <c r="DZ315" s="19">
        <f t="shared" si="1253"/>
        <v>66.987589503999985</v>
      </c>
      <c r="EA315" s="19">
        <f t="shared" si="1254"/>
        <v>69.800993932799983</v>
      </c>
      <c r="EB315" s="48">
        <v>1859.47</v>
      </c>
      <c r="EC315" s="48">
        <f>+(BC315-BF315/1.18)*AZ315</f>
        <v>23280.284308728813</v>
      </c>
      <c r="ED315" s="48">
        <f>+(BD315-BG315/1.18)*AZ315</f>
        <v>24258.096514372883</v>
      </c>
      <c r="EE315" s="22">
        <v>2629.38</v>
      </c>
      <c r="EF315" s="22">
        <v>2813.43</v>
      </c>
      <c r="EG315" s="22">
        <f t="shared" si="1238"/>
        <v>106.99974899025624</v>
      </c>
      <c r="EH315" s="22">
        <v>1128.99</v>
      </c>
      <c r="EI315" s="22">
        <v>1224.3800000000001</v>
      </c>
      <c r="EJ315" s="22">
        <f t="shared" si="1239"/>
        <v>108.44914481084864</v>
      </c>
      <c r="EK315" s="40" t="s">
        <v>141</v>
      </c>
      <c r="EL315" s="19">
        <v>26.670259999999999</v>
      </c>
      <c r="EM315" s="19">
        <v>14.671719999999999</v>
      </c>
      <c r="EN315" s="40">
        <f t="shared" si="1219"/>
        <v>15223.525875932206</v>
      </c>
      <c r="EO315" s="40">
        <f t="shared" si="1220"/>
        <v>41277.857199599996</v>
      </c>
      <c r="EP315" s="40"/>
      <c r="EQ315" s="21">
        <f t="shared" si="1210"/>
        <v>36.880610837715025</v>
      </c>
      <c r="ER315" s="21"/>
      <c r="ES315" s="21">
        <f t="shared" si="1263"/>
        <v>70126.248238800006</v>
      </c>
      <c r="ET315" s="21"/>
      <c r="EU315" s="19">
        <f t="shared" si="1222"/>
        <v>75034.909591799995</v>
      </c>
      <c r="EV315" s="21"/>
      <c r="EW315" s="39"/>
      <c r="EX315" s="39">
        <f t="shared" si="1255"/>
        <v>69800.993932799989</v>
      </c>
      <c r="EY315" s="39">
        <f t="shared" si="1191"/>
        <v>74686.888300799983</v>
      </c>
      <c r="EZ315" s="39"/>
      <c r="FA315" s="39"/>
      <c r="FB315" s="39"/>
      <c r="FC315" s="39"/>
      <c r="FD315" s="39"/>
      <c r="FE315" s="39"/>
      <c r="FF315" s="39"/>
      <c r="FG315" s="39"/>
      <c r="FH315" s="39"/>
      <c r="FI315" s="39"/>
      <c r="FJ315" s="19">
        <f t="shared" si="1223"/>
        <v>24540.048182074577</v>
      </c>
      <c r="FK315" s="19">
        <f t="shared" si="1224"/>
        <v>26054.33132366779</v>
      </c>
      <c r="FL315" s="19">
        <f t="shared" si="1211"/>
        <v>50594.37950574237</v>
      </c>
      <c r="FM315" s="19">
        <v>26.915890000000001</v>
      </c>
      <c r="FN315" s="19">
        <v>14.77</v>
      </c>
      <c r="FO315" s="22">
        <v>3013.12</v>
      </c>
      <c r="FP315" s="22">
        <v>3083.47</v>
      </c>
      <c r="FQ315" s="22"/>
      <c r="FR315" s="22">
        <v>1991.51</v>
      </c>
      <c r="FS315" s="22">
        <v>2190.66</v>
      </c>
      <c r="FT315" s="22"/>
      <c r="FU315" s="40" t="s">
        <v>624</v>
      </c>
      <c r="FV315" s="19"/>
      <c r="FW315" s="19"/>
      <c r="FX315" s="19"/>
      <c r="FY315" s="19"/>
      <c r="FZ315" s="19"/>
      <c r="GA315" s="19"/>
      <c r="GB315" s="19"/>
      <c r="GC315" s="20"/>
      <c r="GD315" s="20"/>
      <c r="GE315" s="21"/>
      <c r="GF315" s="21"/>
      <c r="GG315" s="21"/>
      <c r="GH315" s="21"/>
      <c r="GI315" s="21"/>
      <c r="GJ315" s="21"/>
      <c r="GK315" s="21"/>
      <c r="GL315" s="21"/>
      <c r="GM315" s="19"/>
      <c r="GN315" s="19"/>
      <c r="GO315" s="22">
        <v>3083.47</v>
      </c>
      <c r="GP315" s="22">
        <v>3217.34</v>
      </c>
      <c r="GQ315" s="22"/>
      <c r="GR315" s="22">
        <v>2190.66</v>
      </c>
      <c r="GS315" s="22">
        <v>2273.91</v>
      </c>
      <c r="GT315" s="22"/>
      <c r="GU315" s="40" t="s">
        <v>624</v>
      </c>
      <c r="GV315" s="19"/>
      <c r="GW315" s="19"/>
      <c r="GX315" s="19"/>
      <c r="GY315" s="19"/>
      <c r="GZ315" s="23"/>
      <c r="HA315" s="22">
        <v>3217.34</v>
      </c>
      <c r="HB315" s="22">
        <v>3305.42</v>
      </c>
      <c r="HC315" s="22"/>
      <c r="HD315" s="22">
        <v>2273.91</v>
      </c>
      <c r="HE315" s="22">
        <v>2364.86</v>
      </c>
      <c r="HF315" s="22"/>
      <c r="HG315" s="236" t="s">
        <v>624</v>
      </c>
    </row>
    <row r="316" spans="2:215" ht="15.75">
      <c r="B316" s="10"/>
      <c r="C316" s="184" t="s">
        <v>300</v>
      </c>
      <c r="D316" s="143"/>
      <c r="E316" s="73"/>
      <c r="F316" s="74"/>
      <c r="G316" s="74"/>
      <c r="H316" s="74"/>
      <c r="I316" s="73"/>
      <c r="J316" s="74"/>
      <c r="K316" s="74"/>
      <c r="L316" s="74"/>
      <c r="M316" s="191"/>
      <c r="N316" s="191"/>
      <c r="O316" s="74"/>
      <c r="P316" s="74"/>
      <c r="Q316" s="74"/>
      <c r="R316" s="191"/>
      <c r="S316" s="74"/>
      <c r="T316" s="74"/>
      <c r="U316" s="74"/>
      <c r="V316" s="52"/>
      <c r="W316" s="52"/>
      <c r="X316" s="52"/>
      <c r="Y316" s="52"/>
      <c r="Z316" s="22"/>
      <c r="AA316" s="52"/>
      <c r="AB316" s="22"/>
      <c r="AC316" s="52"/>
      <c r="AD316" s="52">
        <v>246.24</v>
      </c>
      <c r="AE316" s="22">
        <f>+IF(AC316=0,,AF316/AC316*100)</f>
        <v>0</v>
      </c>
      <c r="AF316" s="22">
        <v>246.24</v>
      </c>
      <c r="AG316" s="22">
        <f t="shared" si="1258"/>
        <v>100</v>
      </c>
      <c r="AH316" s="52"/>
      <c r="AI316" s="52"/>
      <c r="AJ316" s="52"/>
      <c r="AK316" s="52"/>
      <c r="AL316" s="22"/>
      <c r="AM316" s="52"/>
      <c r="AN316" s="22"/>
      <c r="AO316" s="22"/>
      <c r="AP316" s="22"/>
      <c r="AQ316" s="22"/>
      <c r="AR316" s="22">
        <v>112.74</v>
      </c>
      <c r="AS316" s="22">
        <f>+IF(AQ316=0,,AT316/AQ316*100)</f>
        <v>0</v>
      </c>
      <c r="AT316" s="22">
        <v>125.73</v>
      </c>
      <c r="AU316" s="22">
        <f t="shared" si="1237"/>
        <v>111.52208621607238</v>
      </c>
      <c r="AV316" s="77"/>
      <c r="AW316" s="77"/>
      <c r="AX316" s="78" t="s">
        <v>156</v>
      </c>
      <c r="AY316" s="22">
        <f t="shared" si="1240"/>
        <v>0</v>
      </c>
      <c r="AZ316" s="22"/>
      <c r="BA316" s="22"/>
      <c r="BB316" s="22"/>
      <c r="BC316" s="22"/>
      <c r="BD316" s="22"/>
      <c r="BE316" s="22">
        <f t="shared" si="1241"/>
        <v>0</v>
      </c>
      <c r="BF316" s="22">
        <v>125.73</v>
      </c>
      <c r="BG316" s="22">
        <v>131.01</v>
      </c>
      <c r="BH316" s="22">
        <f t="shared" si="1242"/>
        <v>104.1994750656168</v>
      </c>
      <c r="BI316" s="22"/>
      <c r="BJ316" s="40" t="s">
        <v>157</v>
      </c>
      <c r="BK316" s="19"/>
      <c r="BL316" s="19"/>
      <c r="BM316" s="19"/>
      <c r="BN316" s="19"/>
      <c r="BO316" s="19"/>
      <c r="BP316" s="19"/>
      <c r="BQ316" s="19"/>
      <c r="BR316" s="19"/>
      <c r="BS316" s="19"/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48"/>
      <c r="CF316" s="48"/>
      <c r="CG316" s="48"/>
      <c r="CH316" s="48"/>
      <c r="CI316" s="48"/>
      <c r="CJ316" s="48"/>
      <c r="CK316" s="48"/>
      <c r="CL316" s="48"/>
      <c r="CM316" s="48"/>
      <c r="CN316" s="48"/>
      <c r="CO316" s="48"/>
      <c r="CP316" s="48"/>
      <c r="CQ316" s="48"/>
      <c r="CR316" s="48"/>
      <c r="CS316" s="48"/>
      <c r="CT316" s="48"/>
      <c r="CU316" s="48"/>
      <c r="CV316" s="48"/>
      <c r="CW316" s="19"/>
      <c r="CX316" s="19"/>
      <c r="CY316" s="19"/>
      <c r="CZ316" s="19"/>
      <c r="DA316" s="21"/>
      <c r="DB316" s="21"/>
      <c r="DC316" s="79"/>
      <c r="DD316" s="79"/>
      <c r="DE316" s="79"/>
      <c r="DF316" s="79"/>
      <c r="DG316" s="79"/>
      <c r="DH316" s="51"/>
      <c r="DI316" s="39"/>
      <c r="DJ316" s="80"/>
      <c r="DK316" s="39"/>
      <c r="DL316" s="39"/>
      <c r="DM316" s="48"/>
      <c r="DN316" s="39"/>
      <c r="DO316" s="39"/>
      <c r="DP316" s="39"/>
      <c r="DQ316" s="39"/>
      <c r="DR316" s="39"/>
      <c r="DS316" s="39"/>
      <c r="DT316" s="39"/>
      <c r="DU316" s="19">
        <f t="shared" si="1251"/>
        <v>0</v>
      </c>
      <c r="DV316" s="40">
        <f>+'[1]тарифы (НВВ) население на 4,2%'!CL409*1.042</f>
        <v>539.38421272220342</v>
      </c>
      <c r="DW316" s="40">
        <f>+'[1]тарифы (НВВ) население на 4,2%'!CM409*1.042</f>
        <v>1324.7473885536001</v>
      </c>
      <c r="DX316" s="46"/>
      <c r="DY316" s="21">
        <f t="shared" si="1252"/>
        <v>40.716004981985257</v>
      </c>
      <c r="DZ316" s="19">
        <f t="shared" si="1253"/>
        <v>0</v>
      </c>
      <c r="EA316" s="19">
        <f t="shared" si="1254"/>
        <v>0</v>
      </c>
      <c r="EB316" s="19"/>
      <c r="EC316" s="48">
        <f t="shared" si="1261"/>
        <v>0</v>
      </c>
      <c r="ED316" s="48">
        <f t="shared" si="1262"/>
        <v>0</v>
      </c>
      <c r="EE316" s="22">
        <v>256.58</v>
      </c>
      <c r="EF316" s="22">
        <v>273.83</v>
      </c>
      <c r="EG316" s="22">
        <f t="shared" si="1238"/>
        <v>106.72304934133604</v>
      </c>
      <c r="EH316" s="22">
        <v>131.01</v>
      </c>
      <c r="EI316" s="22">
        <v>142.08000000000001</v>
      </c>
      <c r="EJ316" s="22">
        <f t="shared" si="1239"/>
        <v>108.44973666132358</v>
      </c>
      <c r="EK316" s="40" t="s">
        <v>158</v>
      </c>
      <c r="EL316" s="19">
        <v>13.5397</v>
      </c>
      <c r="EM316" s="19">
        <v>10.35233</v>
      </c>
      <c r="EN316" s="40">
        <f t="shared" si="1219"/>
        <v>1246.4907172881358</v>
      </c>
      <c r="EO316" s="40">
        <f t="shared" si="1220"/>
        <v>2834.7785239</v>
      </c>
      <c r="EP316" s="40"/>
      <c r="EQ316" s="21">
        <f t="shared" si="1210"/>
        <v>43.971361670020435</v>
      </c>
      <c r="ER316" s="21"/>
      <c r="ES316" s="21">
        <f t="shared" si="1263"/>
        <v>3474.0162259999997</v>
      </c>
      <c r="ET316" s="21"/>
      <c r="EU316" s="19">
        <f t="shared" si="1222"/>
        <v>3707.5760509999996</v>
      </c>
      <c r="EV316" s="21"/>
      <c r="EW316" s="39"/>
      <c r="EX316" s="39">
        <f t="shared" si="1255"/>
        <v>0</v>
      </c>
      <c r="EY316" s="39">
        <f t="shared" si="1191"/>
        <v>0</v>
      </c>
      <c r="EZ316" s="39"/>
      <c r="FA316" s="39"/>
      <c r="FB316" s="39"/>
      <c r="FC316" s="39"/>
      <c r="FD316" s="39"/>
      <c r="FE316" s="39"/>
      <c r="FF316" s="39"/>
      <c r="FG316" s="39"/>
      <c r="FH316" s="39"/>
      <c r="FI316" s="39"/>
      <c r="FJ316" s="19">
        <f t="shared" si="1223"/>
        <v>1506.8290065694914</v>
      </c>
      <c r="FK316" s="19">
        <f t="shared" si="1224"/>
        <v>1588.287806611864</v>
      </c>
      <c r="FL316" s="19">
        <f t="shared" si="1211"/>
        <v>3095.1168131813556</v>
      </c>
      <c r="FM316" s="19">
        <v>12.507</v>
      </c>
      <c r="FN316" s="19">
        <v>9.391</v>
      </c>
      <c r="FO316" s="22">
        <v>279.70999999999998</v>
      </c>
      <c r="FP316" s="22">
        <v>286.39</v>
      </c>
      <c r="FQ316" s="22"/>
      <c r="FR316" s="22">
        <v>206.23</v>
      </c>
      <c r="FS316" s="22">
        <v>216.54</v>
      </c>
      <c r="FT316" s="22"/>
      <c r="FU316" s="40" t="s">
        <v>631</v>
      </c>
      <c r="FV316" s="19"/>
      <c r="FW316" s="19"/>
      <c r="FX316" s="19"/>
      <c r="FY316" s="19"/>
      <c r="FZ316" s="19"/>
      <c r="GA316" s="19"/>
      <c r="GB316" s="19"/>
      <c r="GC316" s="20"/>
      <c r="GD316" s="20"/>
      <c r="GE316" s="21"/>
      <c r="GF316" s="21"/>
      <c r="GG316" s="21"/>
      <c r="GH316" s="21"/>
      <c r="GI316" s="21"/>
      <c r="GJ316" s="21"/>
      <c r="GK316" s="21"/>
      <c r="GL316" s="21"/>
      <c r="GM316" s="19"/>
      <c r="GN316" s="19"/>
      <c r="GO316" s="22">
        <v>286.39</v>
      </c>
      <c r="GP316" s="22">
        <v>297.27</v>
      </c>
      <c r="GQ316" s="22"/>
      <c r="GR316" s="22">
        <v>216.54</v>
      </c>
      <c r="GS316" s="22">
        <v>224.77</v>
      </c>
      <c r="GT316" s="22"/>
      <c r="GU316" s="40" t="s">
        <v>631</v>
      </c>
      <c r="GV316" s="19"/>
      <c r="GW316" s="19"/>
      <c r="GX316" s="19"/>
      <c r="GY316" s="19"/>
      <c r="GZ316" s="23"/>
      <c r="HA316" s="22">
        <v>297.27</v>
      </c>
      <c r="HB316" s="22">
        <v>309.16000000000003</v>
      </c>
      <c r="HC316" s="22"/>
      <c r="HD316" s="22">
        <v>224.77</v>
      </c>
      <c r="HE316" s="22">
        <v>233.76</v>
      </c>
      <c r="HF316" s="22"/>
      <c r="HG316" s="236" t="s">
        <v>631</v>
      </c>
    </row>
    <row r="317" spans="2:215" ht="27" customHeight="1">
      <c r="B317" s="10" t="s">
        <v>447</v>
      </c>
      <c r="C317" s="196" t="s">
        <v>448</v>
      </c>
      <c r="D317" s="143"/>
      <c r="E317" s="73"/>
      <c r="F317" s="74"/>
      <c r="G317" s="74"/>
      <c r="H317" s="74"/>
      <c r="I317" s="73"/>
      <c r="J317" s="74"/>
      <c r="K317" s="74"/>
      <c r="L317" s="74"/>
      <c r="M317" s="191"/>
      <c r="N317" s="191"/>
      <c r="O317" s="74"/>
      <c r="P317" s="74"/>
      <c r="Q317" s="74"/>
      <c r="R317" s="191"/>
      <c r="S317" s="74"/>
      <c r="T317" s="74"/>
      <c r="U317" s="74"/>
      <c r="V317" s="52"/>
      <c r="W317" s="52"/>
      <c r="X317" s="52"/>
      <c r="Y317" s="52"/>
      <c r="Z317" s="22"/>
      <c r="AA317" s="52"/>
      <c r="AB317" s="22"/>
      <c r="AC317" s="52"/>
      <c r="AD317" s="22"/>
      <c r="AE317" s="22"/>
      <c r="AF317" s="22"/>
      <c r="AG317" s="22">
        <f t="shared" si="1258"/>
        <v>0</v>
      </c>
      <c r="AH317" s="52"/>
      <c r="AI317" s="52"/>
      <c r="AJ317" s="52"/>
      <c r="AK317" s="52"/>
      <c r="AL317" s="22"/>
      <c r="AM317" s="52"/>
      <c r="AN317" s="22"/>
      <c r="AO317" s="22"/>
      <c r="AP317" s="22"/>
      <c r="AQ317" s="22"/>
      <c r="AR317" s="22"/>
      <c r="AS317" s="22"/>
      <c r="AT317" s="22"/>
      <c r="AU317" s="22">
        <f t="shared" si="1237"/>
        <v>0</v>
      </c>
      <c r="AV317" s="77"/>
      <c r="AW317" s="77"/>
      <c r="AX317" s="78"/>
      <c r="AY317" s="22">
        <f t="shared" si="1240"/>
        <v>0</v>
      </c>
      <c r="AZ317" s="22"/>
      <c r="BA317" s="22"/>
      <c r="BB317" s="22"/>
      <c r="BC317" s="22"/>
      <c r="BD317" s="22"/>
      <c r="BE317" s="22">
        <f t="shared" si="1241"/>
        <v>0</v>
      </c>
      <c r="BF317" s="22"/>
      <c r="BG317" s="22"/>
      <c r="BH317" s="22">
        <f t="shared" si="1242"/>
        <v>0</v>
      </c>
      <c r="BI317" s="22"/>
      <c r="BJ317" s="40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48"/>
      <c r="CF317" s="48"/>
      <c r="CG317" s="48"/>
      <c r="CH317" s="48"/>
      <c r="CI317" s="48"/>
      <c r="CJ317" s="48"/>
      <c r="CK317" s="48"/>
      <c r="CL317" s="48"/>
      <c r="CM317" s="48"/>
      <c r="CN317" s="48"/>
      <c r="CO317" s="48"/>
      <c r="CP317" s="48"/>
      <c r="CQ317" s="48"/>
      <c r="CR317" s="48"/>
      <c r="CS317" s="48"/>
      <c r="CT317" s="48"/>
      <c r="CU317" s="48"/>
      <c r="CV317" s="48"/>
      <c r="CW317" s="19"/>
      <c r="CX317" s="19"/>
      <c r="CY317" s="19"/>
      <c r="CZ317" s="19"/>
      <c r="DA317" s="21"/>
      <c r="DB317" s="21"/>
      <c r="DC317" s="79"/>
      <c r="DD317" s="79"/>
      <c r="DE317" s="79"/>
      <c r="DF317" s="79"/>
      <c r="DG317" s="79"/>
      <c r="DH317" s="51"/>
      <c r="DI317" s="39"/>
      <c r="DJ317" s="80"/>
      <c r="DK317" s="39"/>
      <c r="DL317" s="39"/>
      <c r="DM317" s="48"/>
      <c r="DN317" s="39"/>
      <c r="DO317" s="39"/>
      <c r="DP317" s="39"/>
      <c r="DQ317" s="39"/>
      <c r="DR317" s="39"/>
      <c r="DS317" s="39"/>
      <c r="DT317" s="39"/>
      <c r="DU317" s="19">
        <f t="shared" si="1251"/>
        <v>0</v>
      </c>
      <c r="DV317" s="40">
        <f t="shared" si="1259"/>
        <v>0</v>
      </c>
      <c r="DW317" s="40">
        <f t="shared" si="1260"/>
        <v>0</v>
      </c>
      <c r="DX317" s="46"/>
      <c r="DY317" s="21">
        <f t="shared" si="1252"/>
        <v>0</v>
      </c>
      <c r="DZ317" s="19">
        <f t="shared" si="1253"/>
        <v>0</v>
      </c>
      <c r="EA317" s="19">
        <f t="shared" si="1254"/>
        <v>0</v>
      </c>
      <c r="EB317" s="19"/>
      <c r="EC317" s="48">
        <f t="shared" si="1261"/>
        <v>0</v>
      </c>
      <c r="ED317" s="48">
        <f t="shared" si="1262"/>
        <v>0</v>
      </c>
      <c r="EE317" s="22"/>
      <c r="EF317" s="22"/>
      <c r="EG317" s="22">
        <f t="shared" si="1238"/>
        <v>0</v>
      </c>
      <c r="EH317" s="22"/>
      <c r="EI317" s="22"/>
      <c r="EJ317" s="22">
        <f t="shared" si="1239"/>
        <v>0</v>
      </c>
      <c r="EK317" s="40"/>
      <c r="EL317" s="19"/>
      <c r="EM317" s="19"/>
      <c r="EN317" s="40">
        <f t="shared" si="1219"/>
        <v>0</v>
      </c>
      <c r="EO317" s="40">
        <f t="shared" si="1220"/>
        <v>0</v>
      </c>
      <c r="EP317" s="40"/>
      <c r="EQ317" s="21">
        <f t="shared" si="1210"/>
        <v>0</v>
      </c>
      <c r="ER317" s="21"/>
      <c r="ES317" s="21">
        <f t="shared" si="1263"/>
        <v>0</v>
      </c>
      <c r="ET317" s="21"/>
      <c r="EU317" s="19">
        <f t="shared" si="1222"/>
        <v>0</v>
      </c>
      <c r="EV317" s="21"/>
      <c r="EW317" s="39"/>
      <c r="EX317" s="39">
        <f t="shared" si="1255"/>
        <v>0</v>
      </c>
      <c r="EY317" s="39">
        <f t="shared" si="1191"/>
        <v>0</v>
      </c>
      <c r="EZ317" s="39"/>
      <c r="FA317" s="39"/>
      <c r="FB317" s="39"/>
      <c r="FC317" s="39"/>
      <c r="FD317" s="39"/>
      <c r="FE317" s="39"/>
      <c r="FF317" s="39"/>
      <c r="FG317" s="39"/>
      <c r="FH317" s="39"/>
      <c r="FI317" s="39"/>
      <c r="FJ317" s="19">
        <f t="shared" si="1223"/>
        <v>0</v>
      </c>
      <c r="FK317" s="19">
        <f t="shared" si="1224"/>
        <v>0</v>
      </c>
      <c r="FL317" s="19">
        <f t="shared" si="1211"/>
        <v>0</v>
      </c>
      <c r="FM317" s="19"/>
      <c r="FN317" s="19"/>
      <c r="FO317" s="22"/>
      <c r="FP317" s="22"/>
      <c r="FQ317" s="22"/>
      <c r="FR317" s="22"/>
      <c r="FS317" s="22"/>
      <c r="FT317" s="22"/>
      <c r="FU317" s="40"/>
      <c r="FV317" s="19"/>
      <c r="FW317" s="19"/>
      <c r="FX317" s="19"/>
      <c r="FY317" s="19"/>
      <c r="FZ317" s="19"/>
      <c r="GA317" s="19"/>
      <c r="GB317" s="19"/>
      <c r="GC317" s="20"/>
      <c r="GD317" s="20"/>
      <c r="GE317" s="21"/>
      <c r="GF317" s="21"/>
      <c r="GG317" s="21"/>
      <c r="GH317" s="21"/>
      <c r="GI317" s="21"/>
      <c r="GJ317" s="21"/>
      <c r="GK317" s="21"/>
      <c r="GL317" s="21"/>
      <c r="GM317" s="19"/>
      <c r="GN317" s="19"/>
      <c r="GO317" s="22"/>
      <c r="GP317" s="22"/>
      <c r="GQ317" s="22"/>
      <c r="GR317" s="22"/>
      <c r="GS317" s="22"/>
      <c r="GT317" s="22"/>
      <c r="GU317" s="43"/>
      <c r="GV317" s="19"/>
      <c r="GW317" s="19"/>
      <c r="GX317" s="19"/>
      <c r="GY317" s="19"/>
      <c r="GZ317" s="23"/>
      <c r="HA317" s="22"/>
      <c r="HB317" s="22"/>
      <c r="HC317" s="22"/>
      <c r="HD317" s="22"/>
      <c r="HE317" s="22"/>
      <c r="HF317" s="22"/>
      <c r="HG317" s="233"/>
    </row>
    <row r="318" spans="2:215" ht="15.75">
      <c r="B318" s="10"/>
      <c r="C318" s="184" t="s">
        <v>142</v>
      </c>
      <c r="D318" s="143"/>
      <c r="E318" s="73"/>
      <c r="F318" s="74"/>
      <c r="G318" s="74"/>
      <c r="H318" s="74"/>
      <c r="I318" s="73"/>
      <c r="J318" s="74"/>
      <c r="K318" s="74"/>
      <c r="L318" s="74"/>
      <c r="M318" s="191"/>
      <c r="N318" s="191"/>
      <c r="O318" s="74"/>
      <c r="P318" s="74"/>
      <c r="Q318" s="74"/>
      <c r="R318" s="191"/>
      <c r="S318" s="74"/>
      <c r="T318" s="74"/>
      <c r="U318" s="74"/>
      <c r="V318" s="52"/>
      <c r="W318" s="52"/>
      <c r="X318" s="52"/>
      <c r="Y318" s="52"/>
      <c r="Z318" s="22"/>
      <c r="AA318" s="52"/>
      <c r="AB318" s="22"/>
      <c r="AC318" s="52"/>
      <c r="AD318" s="22">
        <v>65.59</v>
      </c>
      <c r="AE318" s="22">
        <f>+IF(AC318=0,,AF318/AC318*100)</f>
        <v>0</v>
      </c>
      <c r="AF318" s="22">
        <v>65.59</v>
      </c>
      <c r="AG318" s="22">
        <f t="shared" si="1258"/>
        <v>100</v>
      </c>
      <c r="AH318" s="52"/>
      <c r="AI318" s="52"/>
      <c r="AJ318" s="52"/>
      <c r="AK318" s="52"/>
      <c r="AL318" s="22"/>
      <c r="AM318" s="52"/>
      <c r="AN318" s="22"/>
      <c r="AO318" s="22"/>
      <c r="AP318" s="22"/>
      <c r="AQ318" s="22"/>
      <c r="AR318" s="22">
        <v>66.400000000000006</v>
      </c>
      <c r="AS318" s="22">
        <f>+IF(AQ318=0,,AT318/AQ318*100)</f>
        <v>0</v>
      </c>
      <c r="AT318" s="22">
        <v>73.5</v>
      </c>
      <c r="AU318" s="22">
        <f t="shared" si="1237"/>
        <v>110.69277108433735</v>
      </c>
      <c r="AV318" s="77"/>
      <c r="AW318" s="77"/>
      <c r="AX318" s="239" t="s">
        <v>449</v>
      </c>
      <c r="AY318" s="22">
        <f t="shared" si="1240"/>
        <v>211.785</v>
      </c>
      <c r="AZ318" s="22">
        <f>+[3]БПр!$AC$408/1000</f>
        <v>130.203</v>
      </c>
      <c r="BA318" s="22">
        <f>+[3]БПр!$AB$410/1000</f>
        <v>28.872</v>
      </c>
      <c r="BB318" s="22">
        <f>+[3]БПр!$AD$410/1000</f>
        <v>52.71</v>
      </c>
      <c r="BC318" s="22">
        <v>71.17</v>
      </c>
      <c r="BD318" s="22">
        <v>71.17</v>
      </c>
      <c r="BE318" s="22">
        <f t="shared" si="1241"/>
        <v>100</v>
      </c>
      <c r="BF318" s="22">
        <v>71.17</v>
      </c>
      <c r="BG318" s="22">
        <v>71.17</v>
      </c>
      <c r="BH318" s="22">
        <f t="shared" si="1242"/>
        <v>100</v>
      </c>
      <c r="BI318" s="22"/>
      <c r="BJ318" s="241" t="s">
        <v>450</v>
      </c>
      <c r="BK318" s="19"/>
      <c r="BL318" s="19"/>
      <c r="BM318" s="19"/>
      <c r="BN318" s="19"/>
      <c r="BO318" s="19"/>
      <c r="BP318" s="19"/>
      <c r="BQ318" s="19"/>
      <c r="BR318" s="19"/>
      <c r="BS318" s="19"/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48"/>
      <c r="CF318" s="48"/>
      <c r="CG318" s="48"/>
      <c r="CH318" s="48"/>
      <c r="CI318" s="48"/>
      <c r="CJ318" s="48"/>
      <c r="CK318" s="48"/>
      <c r="CL318" s="48"/>
      <c r="CM318" s="48"/>
      <c r="CN318" s="48"/>
      <c r="CO318" s="48"/>
      <c r="CP318" s="48"/>
      <c r="CQ318" s="48"/>
      <c r="CR318" s="48"/>
      <c r="CS318" s="48"/>
      <c r="CT318" s="48"/>
      <c r="CU318" s="48"/>
      <c r="CV318" s="48"/>
      <c r="CW318" s="19"/>
      <c r="CX318" s="19"/>
      <c r="CY318" s="19"/>
      <c r="CZ318" s="19"/>
      <c r="DA318" s="21"/>
      <c r="DB318" s="21"/>
      <c r="DC318" s="79"/>
      <c r="DD318" s="79"/>
      <c r="DE318" s="79"/>
      <c r="DF318" s="79"/>
      <c r="DG318" s="79"/>
      <c r="DH318" s="51"/>
      <c r="DI318" s="39"/>
      <c r="DJ318" s="80"/>
      <c r="DK318" s="39"/>
      <c r="DL318" s="39"/>
      <c r="DM318" s="48"/>
      <c r="DN318" s="39"/>
      <c r="DO318" s="39"/>
      <c r="DP318" s="39"/>
      <c r="DQ318" s="39"/>
      <c r="DR318" s="39"/>
      <c r="DS318" s="39"/>
      <c r="DT318" s="39"/>
      <c r="DU318" s="19">
        <f t="shared" si="1251"/>
        <v>7853.0063644067804</v>
      </c>
      <c r="DV318" s="40">
        <f>+(BG318*AZ318)</f>
        <v>9266.5475100000003</v>
      </c>
      <c r="DW318" s="40">
        <f t="shared" si="1260"/>
        <v>9266.5475100000003</v>
      </c>
      <c r="DX318" s="21">
        <f>+'[1]тарифы (НВВ) население на 4,2%'!CO408</f>
        <v>96.09110039939857</v>
      </c>
      <c r="DY318" s="21">
        <f t="shared" si="1252"/>
        <v>100</v>
      </c>
      <c r="DZ318" s="19">
        <f t="shared" si="1253"/>
        <v>15.072738450000001</v>
      </c>
      <c r="EA318" s="19">
        <f t="shared" si="1254"/>
        <v>15.072738450000001</v>
      </c>
      <c r="EB318" s="19"/>
      <c r="EC318" s="48">
        <f>+(BC318-BF318)*AZ318/2</f>
        <v>0</v>
      </c>
      <c r="ED318" s="48">
        <f>+(BD318-BG318)*AZ318/2</f>
        <v>0</v>
      </c>
      <c r="EE318" s="22">
        <v>71.17</v>
      </c>
      <c r="EF318" s="22">
        <v>75.44</v>
      </c>
      <c r="EG318" s="22">
        <f t="shared" si="1238"/>
        <v>105.99971898271743</v>
      </c>
      <c r="EH318" s="22">
        <v>71.17</v>
      </c>
      <c r="EI318" s="22">
        <v>75.44</v>
      </c>
      <c r="EJ318" s="22">
        <f t="shared" si="1239"/>
        <v>105.99971898271743</v>
      </c>
      <c r="EK318" s="241" t="s">
        <v>451</v>
      </c>
      <c r="EL318" s="19">
        <v>211.785</v>
      </c>
      <c r="EM318" s="19">
        <v>130.203</v>
      </c>
      <c r="EN318" s="40">
        <f>+(EI318*EM318)</f>
        <v>9822.5143200000002</v>
      </c>
      <c r="EO318" s="40">
        <f t="shared" si="1220"/>
        <v>9822.5143200000002</v>
      </c>
      <c r="EP318" s="40"/>
      <c r="EQ318" s="21">
        <f t="shared" si="1210"/>
        <v>100</v>
      </c>
      <c r="ER318" s="21"/>
      <c r="ES318" s="21">
        <f t="shared" si="1263"/>
        <v>15072.738450000001</v>
      </c>
      <c r="ET318" s="21"/>
      <c r="EU318" s="19">
        <f t="shared" si="1222"/>
        <v>15977.060399999998</v>
      </c>
      <c r="EV318" s="21"/>
      <c r="EW318" s="39"/>
      <c r="EX318" s="39">
        <f t="shared" si="1255"/>
        <v>15072.738450000001</v>
      </c>
      <c r="EY318" s="39">
        <f t="shared" si="1191"/>
        <v>15977.060399999998</v>
      </c>
      <c r="EZ318" s="39"/>
      <c r="FA318" s="39"/>
      <c r="FB318" s="39"/>
      <c r="FC318" s="39"/>
      <c r="FD318" s="39"/>
      <c r="FE318" s="39"/>
      <c r="FF318" s="39"/>
      <c r="FG318" s="39"/>
      <c r="FH318" s="39"/>
      <c r="FI318" s="39"/>
      <c r="FJ318" s="19">
        <f>+(EE318-EH318)*EM318</f>
        <v>0</v>
      </c>
      <c r="FK318" s="19">
        <f>+(EF318-EI318)*EM318</f>
        <v>0</v>
      </c>
      <c r="FL318" s="19">
        <f t="shared" si="1211"/>
        <v>0</v>
      </c>
      <c r="FM318" s="19">
        <v>211.785</v>
      </c>
      <c r="FN318" s="19">
        <v>130.203</v>
      </c>
      <c r="FO318" s="22">
        <v>87.13</v>
      </c>
      <c r="FP318" s="22">
        <v>89.31</v>
      </c>
      <c r="FQ318" s="22"/>
      <c r="FR318" s="22">
        <v>87.13</v>
      </c>
      <c r="FS318" s="22">
        <v>89.31</v>
      </c>
      <c r="FT318" s="22"/>
      <c r="FU318" s="241" t="s">
        <v>695</v>
      </c>
      <c r="FV318" s="19"/>
      <c r="FW318" s="19"/>
      <c r="FX318" s="19"/>
      <c r="FY318" s="19"/>
      <c r="FZ318" s="19"/>
      <c r="GA318" s="19"/>
      <c r="GB318" s="19"/>
      <c r="GC318" s="20"/>
      <c r="GD318" s="20"/>
      <c r="GE318" s="21"/>
      <c r="GF318" s="21"/>
      <c r="GG318" s="21"/>
      <c r="GH318" s="21"/>
      <c r="GI318" s="21"/>
      <c r="GJ318" s="21"/>
      <c r="GK318" s="21"/>
      <c r="GL318" s="21"/>
      <c r="GM318" s="19"/>
      <c r="GN318" s="19"/>
      <c r="GO318" s="22">
        <v>89.31</v>
      </c>
      <c r="GP318" s="22">
        <v>91.56</v>
      </c>
      <c r="GQ318" s="22"/>
      <c r="GR318" s="22">
        <v>89.31</v>
      </c>
      <c r="GS318" s="22">
        <v>91.56</v>
      </c>
      <c r="GT318" s="22"/>
      <c r="GU318" s="241" t="s">
        <v>695</v>
      </c>
      <c r="GV318" s="19"/>
      <c r="GW318" s="19"/>
      <c r="GX318" s="19"/>
      <c r="GY318" s="19"/>
      <c r="GZ318" s="23"/>
      <c r="HA318" s="22">
        <v>91.56</v>
      </c>
      <c r="HB318" s="22">
        <v>94.01</v>
      </c>
      <c r="HC318" s="22"/>
      <c r="HD318" s="22">
        <v>91.56</v>
      </c>
      <c r="HE318" s="22">
        <v>94.01</v>
      </c>
      <c r="HF318" s="22"/>
      <c r="HG318" s="241" t="s">
        <v>695</v>
      </c>
    </row>
    <row r="319" spans="2:215" ht="15.75">
      <c r="B319" s="10"/>
      <c r="C319" s="184" t="s">
        <v>257</v>
      </c>
      <c r="D319" s="143"/>
      <c r="E319" s="73"/>
      <c r="F319" s="74"/>
      <c r="G319" s="74"/>
      <c r="H319" s="74"/>
      <c r="I319" s="73"/>
      <c r="J319" s="74"/>
      <c r="K319" s="74"/>
      <c r="L319" s="74"/>
      <c r="M319" s="191"/>
      <c r="N319" s="191"/>
      <c r="O319" s="74"/>
      <c r="P319" s="74"/>
      <c r="Q319" s="74"/>
      <c r="R319" s="191"/>
      <c r="S319" s="74"/>
      <c r="T319" s="74"/>
      <c r="U319" s="74"/>
      <c r="V319" s="52"/>
      <c r="W319" s="52"/>
      <c r="X319" s="52"/>
      <c r="Y319" s="52"/>
      <c r="Z319" s="22"/>
      <c r="AA319" s="52"/>
      <c r="AB319" s="22"/>
      <c r="AC319" s="52"/>
      <c r="AD319" s="22">
        <v>142.93</v>
      </c>
      <c r="AE319" s="22">
        <f>+IF(AC319=0,,AF319/AC319*100)</f>
        <v>0</v>
      </c>
      <c r="AF319" s="22">
        <v>142.93</v>
      </c>
      <c r="AG319" s="22">
        <f t="shared" si="1258"/>
        <v>100</v>
      </c>
      <c r="AH319" s="52"/>
      <c r="AI319" s="52"/>
      <c r="AJ319" s="52"/>
      <c r="AK319" s="52"/>
      <c r="AL319" s="22"/>
      <c r="AM319" s="52"/>
      <c r="AN319" s="22"/>
      <c r="AO319" s="22"/>
      <c r="AP319" s="22"/>
      <c r="AQ319" s="22"/>
      <c r="AR319" s="22">
        <v>43.07</v>
      </c>
      <c r="AS319" s="22">
        <f>+IF(AQ319=0,,AT319/AQ319*100)</f>
        <v>0</v>
      </c>
      <c r="AT319" s="22">
        <v>47.66</v>
      </c>
      <c r="AU319" s="22">
        <f t="shared" si="1237"/>
        <v>110.65706988623172</v>
      </c>
      <c r="AV319" s="77"/>
      <c r="AW319" s="77"/>
      <c r="AX319" s="239"/>
      <c r="AY319" s="22">
        <f t="shared" si="1240"/>
        <v>100.52759999999999</v>
      </c>
      <c r="AZ319" s="22">
        <f>+[4]БПр!$O$582/1000</f>
        <v>74.752899999999997</v>
      </c>
      <c r="BA319" s="22">
        <f>+[4]БПр!$N$582/1000</f>
        <v>20.993500000000001</v>
      </c>
      <c r="BB319" s="22">
        <f>+[4]БПр!$P$582/1000</f>
        <v>4.7812000000000001</v>
      </c>
      <c r="BC319" s="22">
        <v>157.41999999999999</v>
      </c>
      <c r="BD319" s="22">
        <v>157.41999999999999</v>
      </c>
      <c r="BE319" s="22">
        <f t="shared" si="1241"/>
        <v>100</v>
      </c>
      <c r="BF319" s="22">
        <v>47.66</v>
      </c>
      <c r="BG319" s="22">
        <v>49.66</v>
      </c>
      <c r="BH319" s="22">
        <f t="shared" si="1242"/>
        <v>104.19639110365087</v>
      </c>
      <c r="BI319" s="22"/>
      <c r="BJ319" s="241"/>
      <c r="BK319" s="19"/>
      <c r="BL319" s="19"/>
      <c r="BM319" s="19"/>
      <c r="BN319" s="19"/>
      <c r="BO319" s="19"/>
      <c r="BP319" s="19"/>
      <c r="BQ319" s="19"/>
      <c r="BR319" s="19"/>
      <c r="BS319" s="19"/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48"/>
      <c r="CF319" s="48"/>
      <c r="CG319" s="48"/>
      <c r="CH319" s="48"/>
      <c r="CI319" s="48"/>
      <c r="CJ319" s="48"/>
      <c r="CK319" s="48"/>
      <c r="CL319" s="48"/>
      <c r="CM319" s="48"/>
      <c r="CN319" s="48"/>
      <c r="CO319" s="48"/>
      <c r="CP319" s="48"/>
      <c r="CQ319" s="48"/>
      <c r="CR319" s="48"/>
      <c r="CS319" s="48"/>
      <c r="CT319" s="48"/>
      <c r="CU319" s="48"/>
      <c r="CV319" s="48"/>
      <c r="CW319" s="19"/>
      <c r="CX319" s="19"/>
      <c r="CY319" s="19"/>
      <c r="CZ319" s="19"/>
      <c r="DA319" s="21"/>
      <c r="DB319" s="21"/>
      <c r="DC319" s="79"/>
      <c r="DD319" s="79"/>
      <c r="DE319" s="79"/>
      <c r="DF319" s="79"/>
      <c r="DG319" s="79"/>
      <c r="DH319" s="51"/>
      <c r="DI319" s="39"/>
      <c r="DJ319" s="80"/>
      <c r="DK319" s="39"/>
      <c r="DL319" s="39"/>
      <c r="DM319" s="48"/>
      <c r="DN319" s="39"/>
      <c r="DO319" s="39"/>
      <c r="DP319" s="39"/>
      <c r="DQ319" s="39"/>
      <c r="DR319" s="39"/>
      <c r="DS319" s="39"/>
      <c r="DT319" s="39"/>
      <c r="DU319" s="19">
        <f t="shared" si="1251"/>
        <v>3019.2569610169489</v>
      </c>
      <c r="DV319" s="40">
        <f t="shared" si="1259"/>
        <v>3145.9567915254233</v>
      </c>
      <c r="DW319" s="40">
        <f t="shared" si="1260"/>
        <v>11767.601517999998</v>
      </c>
      <c r="DX319" s="46"/>
      <c r="DY319" s="21">
        <f t="shared" si="1252"/>
        <v>26.734052701506712</v>
      </c>
      <c r="DZ319" s="19">
        <f t="shared" si="1253"/>
        <v>15.825054791999998</v>
      </c>
      <c r="EA319" s="19">
        <f t="shared" si="1254"/>
        <v>15.825054791999998</v>
      </c>
      <c r="EB319" s="19"/>
      <c r="EC319" s="48">
        <f>+(BC319-BF319)*AZ319</f>
        <v>8204.8783039999998</v>
      </c>
      <c r="ED319" s="48">
        <f>+(BD319-BG319)*AZ319</f>
        <v>8055.372503999999</v>
      </c>
      <c r="EE319" s="22">
        <v>157.41999999999999</v>
      </c>
      <c r="EF319" s="22">
        <v>166.86</v>
      </c>
      <c r="EG319" s="22">
        <f t="shared" si="1238"/>
        <v>105.99669673484946</v>
      </c>
      <c r="EH319" s="22">
        <v>49.66</v>
      </c>
      <c r="EI319" s="22">
        <v>53.85</v>
      </c>
      <c r="EJ319" s="22">
        <f t="shared" si="1239"/>
        <v>108.43737414418044</v>
      </c>
      <c r="EK319" s="241"/>
      <c r="EL319" s="19">
        <v>100.53</v>
      </c>
      <c r="EM319" s="19">
        <v>74.75</v>
      </c>
      <c r="EN319" s="40">
        <f>+(EI319*EM319)</f>
        <v>4025.2874999999999</v>
      </c>
      <c r="EO319" s="40">
        <f t="shared" si="1220"/>
        <v>12472.785000000002</v>
      </c>
      <c r="EP319" s="40"/>
      <c r="EQ319" s="21">
        <f t="shared" si="1210"/>
        <v>32.272563825961882</v>
      </c>
      <c r="ER319" s="21"/>
      <c r="ES319" s="21">
        <f t="shared" si="1263"/>
        <v>15825.432599999998</v>
      </c>
      <c r="ET319" s="21"/>
      <c r="EU319" s="19">
        <f t="shared" si="1222"/>
        <v>16774.435800000003</v>
      </c>
      <c r="EV319" s="21"/>
      <c r="EW319" s="39"/>
      <c r="EX319" s="39">
        <f t="shared" si="1255"/>
        <v>15825.054791999997</v>
      </c>
      <c r="EY319" s="39">
        <f t="shared" si="1191"/>
        <v>16774.035336000001</v>
      </c>
      <c r="EZ319" s="39"/>
      <c r="FA319" s="39"/>
      <c r="FB319" s="39"/>
      <c r="FC319" s="39"/>
      <c r="FD319" s="39"/>
      <c r="FE319" s="39"/>
      <c r="FF319" s="39"/>
      <c r="FG319" s="39"/>
      <c r="FH319" s="39"/>
      <c r="FI319" s="39"/>
      <c r="FJ319" s="19">
        <f>+(EE319-EH319)*EM319</f>
        <v>8055.0599999999995</v>
      </c>
      <c r="FK319" s="19">
        <f>+(EF319-EI319)*EM319</f>
        <v>8447.4975000000013</v>
      </c>
      <c r="FL319" s="19">
        <f t="shared" si="1211"/>
        <v>16502.557500000003</v>
      </c>
      <c r="FM319" s="19">
        <v>100.52760000000001</v>
      </c>
      <c r="FN319" s="19">
        <v>74.752899999999997</v>
      </c>
      <c r="FO319" s="22">
        <v>169.21</v>
      </c>
      <c r="FP319" s="22">
        <v>173.44</v>
      </c>
      <c r="FQ319" s="22"/>
      <c r="FR319" s="22">
        <v>63.79</v>
      </c>
      <c r="FS319" s="22">
        <v>65.38</v>
      </c>
      <c r="FT319" s="22"/>
      <c r="FU319" s="241"/>
      <c r="FV319" s="19"/>
      <c r="FW319" s="19"/>
      <c r="FX319" s="19"/>
      <c r="FY319" s="19"/>
      <c r="FZ319" s="19"/>
      <c r="GA319" s="19"/>
      <c r="GB319" s="19"/>
      <c r="GC319" s="20"/>
      <c r="GD319" s="20"/>
      <c r="GE319" s="21"/>
      <c r="GF319" s="21"/>
      <c r="GG319" s="21"/>
      <c r="GH319" s="21"/>
      <c r="GI319" s="21"/>
      <c r="GJ319" s="21"/>
      <c r="GK319" s="21"/>
      <c r="GL319" s="21"/>
      <c r="GM319" s="19"/>
      <c r="GN319" s="19"/>
      <c r="GO319" s="22">
        <v>173.44</v>
      </c>
      <c r="GP319" s="22">
        <v>177.78</v>
      </c>
      <c r="GQ319" s="22"/>
      <c r="GR319" s="22">
        <v>65.38</v>
      </c>
      <c r="GS319" s="22">
        <v>67.989999999999995</v>
      </c>
      <c r="GT319" s="22"/>
      <c r="GU319" s="241"/>
      <c r="GV319" s="19"/>
      <c r="GW319" s="19"/>
      <c r="GX319" s="19"/>
      <c r="GY319" s="19"/>
      <c r="GZ319" s="23"/>
      <c r="HA319" s="22">
        <v>177.78</v>
      </c>
      <c r="HB319" s="22">
        <v>182.55</v>
      </c>
      <c r="HC319" s="22"/>
      <c r="HD319" s="22">
        <v>67.989999999999995</v>
      </c>
      <c r="HE319" s="22">
        <v>70.709999999999994</v>
      </c>
      <c r="HF319" s="22"/>
      <c r="HG319" s="241"/>
    </row>
    <row r="320" spans="2:215" ht="15.75">
      <c r="B320" s="10"/>
      <c r="C320" s="184" t="s">
        <v>452</v>
      </c>
      <c r="D320" s="143"/>
      <c r="E320" s="73"/>
      <c r="F320" s="74"/>
      <c r="G320" s="74"/>
      <c r="H320" s="74"/>
      <c r="I320" s="73"/>
      <c r="J320" s="74"/>
      <c r="K320" s="74"/>
      <c r="L320" s="74"/>
      <c r="M320" s="191"/>
      <c r="N320" s="191"/>
      <c r="O320" s="74"/>
      <c r="P320" s="74"/>
      <c r="Q320" s="74"/>
      <c r="R320" s="191"/>
      <c r="S320" s="74"/>
      <c r="T320" s="74"/>
      <c r="U320" s="74"/>
      <c r="V320" s="52"/>
      <c r="W320" s="52"/>
      <c r="X320" s="52"/>
      <c r="Y320" s="52"/>
      <c r="Z320" s="22"/>
      <c r="AA320" s="52"/>
      <c r="AB320" s="22"/>
      <c r="AC320" s="52"/>
      <c r="AD320" s="22">
        <v>105.66</v>
      </c>
      <c r="AE320" s="22">
        <f>+IF(AC320=0,,AF320/AC320*100)</f>
        <v>0</v>
      </c>
      <c r="AF320" s="22">
        <v>105.66</v>
      </c>
      <c r="AG320" s="22">
        <f t="shared" si="1258"/>
        <v>100</v>
      </c>
      <c r="AH320" s="52"/>
      <c r="AI320" s="52"/>
      <c r="AJ320" s="52"/>
      <c r="AK320" s="52"/>
      <c r="AL320" s="22"/>
      <c r="AM320" s="52"/>
      <c r="AN320" s="22"/>
      <c r="AO320" s="22"/>
      <c r="AP320" s="22"/>
      <c r="AQ320" s="22"/>
      <c r="AR320" s="22"/>
      <c r="AS320" s="22"/>
      <c r="AT320" s="22"/>
      <c r="AU320" s="22">
        <f t="shared" si="1237"/>
        <v>0</v>
      </c>
      <c r="AV320" s="77"/>
      <c r="AW320" s="77"/>
      <c r="AX320" s="78"/>
      <c r="AY320" s="22">
        <f t="shared" si="1240"/>
        <v>11.671300000000004</v>
      </c>
      <c r="AZ320" s="22"/>
      <c r="BA320" s="22"/>
      <c r="BB320" s="22">
        <f>+[4]БПр!$P$610/1000+[4]БПр!$L$610/1000</f>
        <v>11.671300000000004</v>
      </c>
      <c r="BC320" s="22">
        <v>115.34</v>
      </c>
      <c r="BD320" s="22">
        <v>115.34</v>
      </c>
      <c r="BE320" s="22">
        <f t="shared" si="1241"/>
        <v>100</v>
      </c>
      <c r="BF320" s="22"/>
      <c r="BG320" s="22"/>
      <c r="BH320" s="22">
        <f t="shared" si="1242"/>
        <v>0</v>
      </c>
      <c r="BI320" s="22"/>
      <c r="BJ320" s="241"/>
      <c r="BK320" s="19"/>
      <c r="BL320" s="19"/>
      <c r="BM320" s="19"/>
      <c r="BN320" s="19"/>
      <c r="BO320" s="19"/>
      <c r="BP320" s="19"/>
      <c r="BQ320" s="19"/>
      <c r="BR320" s="19"/>
      <c r="BS320" s="19"/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48"/>
      <c r="CF320" s="48"/>
      <c r="CG320" s="48"/>
      <c r="CH320" s="48"/>
      <c r="CI320" s="48"/>
      <c r="CJ320" s="48"/>
      <c r="CK320" s="48"/>
      <c r="CL320" s="48"/>
      <c r="CM320" s="48"/>
      <c r="CN320" s="48"/>
      <c r="CO320" s="48"/>
      <c r="CP320" s="48"/>
      <c r="CQ320" s="48"/>
      <c r="CR320" s="48"/>
      <c r="CS320" s="48"/>
      <c r="CT320" s="48"/>
      <c r="CU320" s="48"/>
      <c r="CV320" s="48"/>
      <c r="CW320" s="19"/>
      <c r="CX320" s="19"/>
      <c r="CY320" s="19"/>
      <c r="CZ320" s="19"/>
      <c r="DA320" s="21"/>
      <c r="DB320" s="21"/>
      <c r="DC320" s="79"/>
      <c r="DD320" s="79"/>
      <c r="DE320" s="79"/>
      <c r="DF320" s="79"/>
      <c r="DG320" s="79"/>
      <c r="DH320" s="51"/>
      <c r="DI320" s="39"/>
      <c r="DJ320" s="80"/>
      <c r="DK320" s="39"/>
      <c r="DL320" s="39"/>
      <c r="DM320" s="48"/>
      <c r="DN320" s="39"/>
      <c r="DO320" s="39"/>
      <c r="DP320" s="39"/>
      <c r="DQ320" s="39"/>
      <c r="DR320" s="39"/>
      <c r="DS320" s="39"/>
      <c r="DT320" s="39"/>
      <c r="DU320" s="19">
        <f t="shared" si="1251"/>
        <v>0</v>
      </c>
      <c r="DV320" s="40">
        <f t="shared" si="1259"/>
        <v>0</v>
      </c>
      <c r="DW320" s="40">
        <f t="shared" si="1260"/>
        <v>0</v>
      </c>
      <c r="DX320" s="46"/>
      <c r="DY320" s="21">
        <f t="shared" si="1252"/>
        <v>0</v>
      </c>
      <c r="DZ320" s="19">
        <f t="shared" si="1253"/>
        <v>1.3461677420000004</v>
      </c>
      <c r="EA320" s="19">
        <f t="shared" si="1254"/>
        <v>1.3461677420000004</v>
      </c>
      <c r="EB320" s="19"/>
      <c r="EC320" s="48">
        <f t="shared" si="1261"/>
        <v>0</v>
      </c>
      <c r="ED320" s="48">
        <f t="shared" si="1262"/>
        <v>0</v>
      </c>
      <c r="EE320" s="22">
        <v>115.34</v>
      </c>
      <c r="EF320" s="22">
        <v>122.26</v>
      </c>
      <c r="EG320" s="22">
        <f t="shared" si="1238"/>
        <v>105.99965319923703</v>
      </c>
      <c r="EH320" s="22"/>
      <c r="EI320" s="22"/>
      <c r="EJ320" s="22">
        <f t="shared" si="1239"/>
        <v>0</v>
      </c>
      <c r="EK320" s="241"/>
      <c r="EL320" s="19">
        <v>11.67</v>
      </c>
      <c r="EM320" s="19"/>
      <c r="EN320" s="40">
        <f t="shared" si="1219"/>
        <v>0</v>
      </c>
      <c r="EO320" s="40">
        <f t="shared" si="1220"/>
        <v>0</v>
      </c>
      <c r="EP320" s="40"/>
      <c r="EQ320" s="21">
        <f t="shared" si="1210"/>
        <v>0</v>
      </c>
      <c r="ER320" s="21"/>
      <c r="ES320" s="21">
        <f t="shared" si="1263"/>
        <v>1346.0178000000001</v>
      </c>
      <c r="ET320" s="21"/>
      <c r="EU320" s="19">
        <f t="shared" si="1222"/>
        <v>1426.7742000000001</v>
      </c>
      <c r="EV320" s="21"/>
      <c r="EW320" s="39"/>
      <c r="EX320" s="39">
        <f t="shared" si="1255"/>
        <v>1346.1677420000005</v>
      </c>
      <c r="EY320" s="39">
        <f t="shared" si="1191"/>
        <v>1426.9331380000006</v>
      </c>
      <c r="EZ320" s="39"/>
      <c r="FA320" s="39"/>
      <c r="FB320" s="39"/>
      <c r="FC320" s="39"/>
      <c r="FD320" s="39"/>
      <c r="FE320" s="39"/>
      <c r="FF320" s="39"/>
      <c r="FG320" s="39"/>
      <c r="FH320" s="39"/>
      <c r="FI320" s="39"/>
      <c r="FJ320" s="19">
        <f t="shared" si="1223"/>
        <v>0</v>
      </c>
      <c r="FK320" s="19">
        <f t="shared" si="1224"/>
        <v>0</v>
      </c>
      <c r="FL320" s="19">
        <f t="shared" si="1211"/>
        <v>0</v>
      </c>
      <c r="FM320" s="19">
        <v>11.6713</v>
      </c>
      <c r="FN320" s="19"/>
      <c r="FO320" s="22">
        <v>122.33</v>
      </c>
      <c r="FP320" s="22">
        <v>125.39</v>
      </c>
      <c r="FQ320" s="22"/>
      <c r="FR320" s="22" t="s">
        <v>633</v>
      </c>
      <c r="FS320" s="22" t="s">
        <v>633</v>
      </c>
      <c r="FT320" s="22"/>
      <c r="FU320" s="241"/>
      <c r="FV320" s="19"/>
      <c r="FW320" s="19"/>
      <c r="FX320" s="19"/>
      <c r="FY320" s="19"/>
      <c r="FZ320" s="19"/>
      <c r="GA320" s="19"/>
      <c r="GB320" s="19"/>
      <c r="GC320" s="20"/>
      <c r="GD320" s="20"/>
      <c r="GE320" s="21"/>
      <c r="GF320" s="21"/>
      <c r="GG320" s="21"/>
      <c r="GH320" s="21"/>
      <c r="GI320" s="21"/>
      <c r="GJ320" s="21"/>
      <c r="GK320" s="21"/>
      <c r="GL320" s="21"/>
      <c r="GM320" s="19"/>
      <c r="GN320" s="19"/>
      <c r="GO320" s="22">
        <v>125.39</v>
      </c>
      <c r="GP320" s="22">
        <v>128.54</v>
      </c>
      <c r="GQ320" s="22"/>
      <c r="GR320" s="22" t="s">
        <v>633</v>
      </c>
      <c r="GS320" s="22" t="s">
        <v>633</v>
      </c>
      <c r="GT320" s="22"/>
      <c r="GU320" s="241"/>
      <c r="GV320" s="19"/>
      <c r="GW320" s="19"/>
      <c r="GX320" s="19"/>
      <c r="GY320" s="19"/>
      <c r="GZ320" s="23"/>
      <c r="HA320" s="22">
        <v>128.54</v>
      </c>
      <c r="HB320" s="22">
        <v>132</v>
      </c>
      <c r="HC320" s="22"/>
      <c r="HD320" s="22" t="s">
        <v>633</v>
      </c>
      <c r="HE320" s="22" t="s">
        <v>633</v>
      </c>
      <c r="HF320" s="22"/>
      <c r="HG320" s="241"/>
    </row>
    <row r="321" spans="2:215" ht="15.75">
      <c r="B321" s="10" t="s">
        <v>453</v>
      </c>
      <c r="C321" s="81" t="s">
        <v>376</v>
      </c>
      <c r="D321" s="46"/>
      <c r="E321" s="46"/>
      <c r="F321" s="46"/>
      <c r="G321" s="46"/>
      <c r="H321" s="46"/>
      <c r="I321" s="46"/>
      <c r="J321" s="46"/>
      <c r="K321" s="46"/>
      <c r="L321" s="46"/>
      <c r="M321" s="143">
        <f t="shared" ref="M321:M326" si="1264">+N321+R321</f>
        <v>0</v>
      </c>
      <c r="N321" s="73">
        <f t="shared" ref="N321:N326" si="1265">+E321</f>
        <v>0</v>
      </c>
      <c r="O321" s="46"/>
      <c r="P321" s="46"/>
      <c r="Q321" s="46"/>
      <c r="R321" s="73">
        <f t="shared" ref="R321:R326" si="1266">+I321</f>
        <v>0</v>
      </c>
      <c r="S321" s="46"/>
      <c r="T321" s="46"/>
      <c r="U321" s="46"/>
      <c r="V321" s="52"/>
      <c r="W321" s="52"/>
      <c r="X321" s="52">
        <f t="shared" si="1198"/>
        <v>0</v>
      </c>
      <c r="Y321" s="52"/>
      <c r="Z321" s="22">
        <f t="shared" si="1192"/>
        <v>0</v>
      </c>
      <c r="AA321" s="52"/>
      <c r="AB321" s="22">
        <f t="shared" si="1193"/>
        <v>0</v>
      </c>
      <c r="AC321" s="22"/>
      <c r="AD321" s="22"/>
      <c r="AE321" s="22">
        <f t="shared" si="1185"/>
        <v>0</v>
      </c>
      <c r="AF321" s="22"/>
      <c r="AG321" s="22">
        <f t="shared" si="1258"/>
        <v>0</v>
      </c>
      <c r="AH321" s="52"/>
      <c r="AI321" s="52"/>
      <c r="AJ321" s="52">
        <f t="shared" si="1194"/>
        <v>0</v>
      </c>
      <c r="AK321" s="52"/>
      <c r="AL321" s="22">
        <f t="shared" si="1195"/>
        <v>0</v>
      </c>
      <c r="AM321" s="52"/>
      <c r="AN321" s="22">
        <f t="shared" si="1196"/>
        <v>0</v>
      </c>
      <c r="AO321" s="22">
        <f t="shared" si="1199"/>
        <v>0</v>
      </c>
      <c r="AP321" s="22">
        <f t="shared" si="1197"/>
        <v>0</v>
      </c>
      <c r="AQ321" s="22"/>
      <c r="AR321" s="22"/>
      <c r="AS321" s="22">
        <f t="shared" si="1186"/>
        <v>0</v>
      </c>
      <c r="AT321" s="22"/>
      <c r="AU321" s="22">
        <f t="shared" si="1237"/>
        <v>0</v>
      </c>
      <c r="AV321" s="77"/>
      <c r="AW321" s="77">
        <f t="shared" ref="AW321:AW326" si="1267">+CY321/$CY$313*100</f>
        <v>0</v>
      </c>
      <c r="AX321" s="78"/>
      <c r="AY321" s="22">
        <f t="shared" si="1240"/>
        <v>0</v>
      </c>
      <c r="AZ321" s="22"/>
      <c r="BA321" s="22"/>
      <c r="BB321" s="22"/>
      <c r="BC321" s="22"/>
      <c r="BD321" s="22"/>
      <c r="BE321" s="22">
        <f t="shared" si="1241"/>
        <v>0</v>
      </c>
      <c r="BF321" s="22"/>
      <c r="BG321" s="22"/>
      <c r="BH321" s="22">
        <f t="shared" si="1242"/>
        <v>0</v>
      </c>
      <c r="BI321" s="22"/>
      <c r="BJ321" s="40"/>
      <c r="BK321" s="19">
        <f t="shared" ref="BK321:BK364" si="1268">+BL321+BM321+BN321</f>
        <v>0</v>
      </c>
      <c r="BL321" s="19">
        <f t="shared" si="1200"/>
        <v>0</v>
      </c>
      <c r="BM321" s="19">
        <f t="shared" si="1201"/>
        <v>0</v>
      </c>
      <c r="BN321" s="19">
        <f t="shared" si="1202"/>
        <v>0</v>
      </c>
      <c r="BO321" s="19">
        <f t="shared" ref="BO321:BO364" si="1269">+BP321+BQ321+BR321</f>
        <v>0</v>
      </c>
      <c r="BP321" s="19">
        <f t="shared" si="1203"/>
        <v>0</v>
      </c>
      <c r="BQ321" s="19">
        <f t="shared" si="1204"/>
        <v>0</v>
      </c>
      <c r="BR321" s="19">
        <f t="shared" si="1205"/>
        <v>0</v>
      </c>
      <c r="BS321" s="19">
        <f t="shared" ref="BS321:BS364" si="1270">+BT321+BV321+BU321</f>
        <v>0</v>
      </c>
      <c r="BT321" s="19">
        <f t="shared" si="1206"/>
        <v>0</v>
      </c>
      <c r="BU321" s="19">
        <f t="shared" si="1207"/>
        <v>0</v>
      </c>
      <c r="BV321" s="19">
        <f t="shared" si="1208"/>
        <v>0</v>
      </c>
      <c r="BW321" s="19">
        <f t="shared" ref="BW321:BW326" si="1271">+BX321+BY321+BZ321</f>
        <v>0</v>
      </c>
      <c r="BX321" s="19">
        <f t="shared" ref="BX321:BX326" si="1272">+((AQ321/1.18*N321/1000)+(AR321/1.18*N321/1000))/2</f>
        <v>0</v>
      </c>
      <c r="BY321" s="19">
        <f t="shared" ref="BY321:BY326" si="1273">+((AC321-ROUND(AQ321/1.18,2))*N321/1000+(AD321-ROUND(AR321/1.18,2))*N321/1000)/2</f>
        <v>0</v>
      </c>
      <c r="BZ321" s="19">
        <f t="shared" ref="BZ321:BZ326" si="1274">+((AC321*R321/1000)+(R321*AD321/1000))/2</f>
        <v>0</v>
      </c>
      <c r="CA321" s="19">
        <f t="shared" ref="CA321:CA326" si="1275">+CB321+CC321+CD321</f>
        <v>0</v>
      </c>
      <c r="CB321" s="19">
        <f t="shared" ref="CB321:CB326" si="1276">+AT321/1.18*N321/1000</f>
        <v>0</v>
      </c>
      <c r="CC321" s="19">
        <f t="shared" ref="CC321:CC326" si="1277">+(AF321-ROUND(AT321/1.18,2))*N321/1000</f>
        <v>0</v>
      </c>
      <c r="CD321" s="19">
        <f t="shared" si="1243"/>
        <v>0</v>
      </c>
      <c r="CE321" s="48">
        <f t="shared" ref="CE321:CE359" si="1278">+IF(R321=0,,BN321/R321*1000)</f>
        <v>0</v>
      </c>
      <c r="CF321" s="48">
        <f t="shared" ref="CF321:CF359" si="1279">+IF(I321=0,,BR321/I321*1000)</f>
        <v>0</v>
      </c>
      <c r="CG321" s="48">
        <f t="shared" ref="CG321:CG359" si="1280">+IF(I321=0,,BV321/I321*1000)</f>
        <v>0</v>
      </c>
      <c r="CH321" s="48">
        <f t="shared" ref="CH321:CH359" si="1281">+IF(E321=0,,BL321/E321*1000*1.18)</f>
        <v>0</v>
      </c>
      <c r="CI321" s="48">
        <f t="shared" ref="CI321:CI359" si="1282">+IF(E321=0,,BP321/E321*1.18*1000)</f>
        <v>0</v>
      </c>
      <c r="CJ321" s="48">
        <f t="shared" ref="CJ321:CJ359" si="1283">+IF(E321=0,,BT321/E321*1.18*1000)</f>
        <v>0</v>
      </c>
      <c r="CK321" s="48">
        <f t="shared" ref="CK321:CK359" si="1284">+IF(D321=0,,BK321/D321*1000)</f>
        <v>0</v>
      </c>
      <c r="CL321" s="48">
        <f t="shared" ref="CL321:CL359" si="1285">+IF(D321=0,,BO321/D321*1000)</f>
        <v>0</v>
      </c>
      <c r="CM321" s="48">
        <f t="shared" ref="CM321:CM359" si="1286">+IF(D321=0,,BS321/D321*1000)</f>
        <v>0</v>
      </c>
      <c r="CN321" s="48">
        <f t="shared" si="1244"/>
        <v>0</v>
      </c>
      <c r="CO321" s="48">
        <f t="shared" ref="CO321:CO359" si="1287">+IF(R321=0,,BZ321/R321*1000)</f>
        <v>0</v>
      </c>
      <c r="CP321" s="48">
        <f t="shared" ref="CP321:CP359" si="1288">+IF(R321=0,,CD321/R321*1000)</f>
        <v>0</v>
      </c>
      <c r="CQ321" s="48">
        <f t="shared" ref="CQ321:CQ359" si="1289">+IF(N321=0,,BX321/N321*1.18*1000)</f>
        <v>0</v>
      </c>
      <c r="CR321" s="48">
        <f t="shared" ref="CR321:CR359" si="1290">+IF(N321=0,,CB321/N321*1.18*1000)</f>
        <v>0</v>
      </c>
      <c r="CS321" s="48">
        <f t="shared" ref="CS321:CS359" si="1291">+IF(M321=0,,BW321/M321*1000)</f>
        <v>0</v>
      </c>
      <c r="CT321" s="48">
        <f t="shared" ref="CT321:CT359" si="1292">+IF(M321=0,,CA321/M321*1000)</f>
        <v>0</v>
      </c>
      <c r="CU321" s="48">
        <f t="shared" si="1245"/>
        <v>0</v>
      </c>
      <c r="CV321" s="48">
        <f t="shared" ref="CV321:CV359" si="1293">+IF(CN321=0,,CU321/CN321*100)</f>
        <v>0</v>
      </c>
      <c r="CW321" s="19">
        <f t="shared" ref="CW321:CW326" si="1294">+((AI321*F321)/1.18+(G321*AK321)/1.18+(H321*AM321)/1.18)/1000</f>
        <v>0</v>
      </c>
      <c r="CX321" s="19">
        <f t="shared" ref="CX321:CX326" si="1295">+((W321*F321)+(Y321*G321)+(AA321*H321))/1000</f>
        <v>0</v>
      </c>
      <c r="CY321" s="19">
        <f t="shared" ref="CY321:CY326" si="1296">+((AQ321*O321)/1.18+(Q321*AT321)/1.18+(AR321*P321)/1.18)/1000</f>
        <v>0</v>
      </c>
      <c r="CZ321" s="19">
        <f t="shared" ref="CZ321:CZ326" si="1297">+((AC321*O321)+(AF321*Q321)+(AD321*P321))/1000</f>
        <v>0</v>
      </c>
      <c r="DA321" s="21">
        <f t="shared" si="1246"/>
        <v>0</v>
      </c>
      <c r="DB321" s="21">
        <f t="shared" si="1247"/>
        <v>0</v>
      </c>
      <c r="DC321" s="79">
        <f t="shared" ref="DC321:DD359" si="1298">+IF(CW321=0,,CY321/CW321*100)</f>
        <v>0</v>
      </c>
      <c r="DD321" s="79">
        <f t="shared" si="1298"/>
        <v>0</v>
      </c>
      <c r="DE321" s="79">
        <f t="shared" ref="DE321:DF326" si="1299">+(O321+S321)*AC321/1000</f>
        <v>0</v>
      </c>
      <c r="DF321" s="79">
        <f t="shared" si="1299"/>
        <v>0</v>
      </c>
      <c r="DG321" s="79">
        <f t="shared" si="1249"/>
        <v>0</v>
      </c>
      <c r="DH321" s="51">
        <f t="shared" si="1250"/>
        <v>0</v>
      </c>
      <c r="DI321" s="39"/>
      <c r="DJ321" s="80">
        <f t="shared" ref="DJ321:DJ359" si="1300">+(F321+J321)*W321/1000</f>
        <v>0</v>
      </c>
      <c r="DK321" s="39">
        <f t="shared" ref="DK321:DK359" si="1301">+Y321*(G321+K321)/1000</f>
        <v>0</v>
      </c>
      <c r="DL321" s="39">
        <f t="shared" ref="DL321:DL359" si="1302">+(H321+L321)*AA321/1000</f>
        <v>0</v>
      </c>
      <c r="DM321" s="48">
        <f>+AT321-'[2]тарифы (12-13) население 15%'!AP403</f>
        <v>0</v>
      </c>
      <c r="DN321" s="39"/>
      <c r="DO321" s="39"/>
      <c r="DP321" s="39"/>
      <c r="DQ321" s="39"/>
      <c r="DR321" s="39"/>
      <c r="DS321" s="39"/>
      <c r="DT321" s="39"/>
      <c r="DU321" s="19">
        <f t="shared" si="1251"/>
        <v>0</v>
      </c>
      <c r="DV321" s="40">
        <f t="shared" si="1259"/>
        <v>0</v>
      </c>
      <c r="DW321" s="40">
        <f t="shared" si="1260"/>
        <v>0</v>
      </c>
      <c r="DX321" s="46"/>
      <c r="DY321" s="21">
        <f t="shared" si="1252"/>
        <v>0</v>
      </c>
      <c r="DZ321" s="19">
        <f t="shared" si="1253"/>
        <v>0</v>
      </c>
      <c r="EA321" s="19">
        <f t="shared" si="1254"/>
        <v>0</v>
      </c>
      <c r="EB321" s="19"/>
      <c r="EC321" s="48">
        <f t="shared" si="1261"/>
        <v>0</v>
      </c>
      <c r="ED321" s="48">
        <f t="shared" si="1262"/>
        <v>0</v>
      </c>
      <c r="EE321" s="22"/>
      <c r="EF321" s="22"/>
      <c r="EG321" s="22">
        <f t="shared" si="1238"/>
        <v>0</v>
      </c>
      <c r="EH321" s="22"/>
      <c r="EI321" s="22"/>
      <c r="EJ321" s="22">
        <f t="shared" si="1239"/>
        <v>0</v>
      </c>
      <c r="EK321" s="40"/>
      <c r="EL321" s="19"/>
      <c r="EM321" s="19"/>
      <c r="EN321" s="40">
        <f t="shared" si="1219"/>
        <v>0</v>
      </c>
      <c r="EO321" s="40">
        <f t="shared" si="1220"/>
        <v>0</v>
      </c>
      <c r="EP321" s="40"/>
      <c r="EQ321" s="21">
        <f t="shared" si="1210"/>
        <v>0</v>
      </c>
      <c r="ER321" s="21"/>
      <c r="ES321" s="21">
        <f t="shared" si="1263"/>
        <v>0</v>
      </c>
      <c r="ET321" s="21"/>
      <c r="EU321" s="19">
        <f t="shared" si="1222"/>
        <v>0</v>
      </c>
      <c r="EV321" s="21"/>
      <c r="EW321" s="39"/>
      <c r="EX321" s="39">
        <f t="shared" si="1255"/>
        <v>0</v>
      </c>
      <c r="EY321" s="39">
        <f t="shared" ref="EY321:EY348" si="1303">+EF321*AY321</f>
        <v>0</v>
      </c>
      <c r="EZ321" s="39"/>
      <c r="FA321" s="39"/>
      <c r="FB321" s="39"/>
      <c r="FC321" s="39"/>
      <c r="FD321" s="39"/>
      <c r="FE321" s="39"/>
      <c r="FF321" s="39"/>
      <c r="FG321" s="39"/>
      <c r="FH321" s="39"/>
      <c r="FI321" s="39"/>
      <c r="FJ321" s="19">
        <f t="shared" si="1223"/>
        <v>0</v>
      </c>
      <c r="FK321" s="19">
        <f t="shared" si="1224"/>
        <v>0</v>
      </c>
      <c r="FL321" s="19">
        <f t="shared" si="1211"/>
        <v>0</v>
      </c>
      <c r="FM321" s="19"/>
      <c r="FN321" s="19"/>
      <c r="FO321" s="22"/>
      <c r="FP321" s="22"/>
      <c r="FQ321" s="22"/>
      <c r="FR321" s="22"/>
      <c r="FS321" s="22"/>
      <c r="FT321" s="22"/>
      <c r="FU321" s="40"/>
      <c r="FV321" s="19"/>
      <c r="FW321" s="19"/>
      <c r="FX321" s="19"/>
      <c r="FY321" s="19"/>
      <c r="FZ321" s="19"/>
      <c r="GA321" s="19"/>
      <c r="GB321" s="19"/>
      <c r="GC321" s="20"/>
      <c r="GD321" s="20"/>
      <c r="GE321" s="21"/>
      <c r="GF321" s="21"/>
      <c r="GG321" s="21"/>
      <c r="GH321" s="21"/>
      <c r="GI321" s="21"/>
      <c r="GJ321" s="21"/>
      <c r="GK321" s="21"/>
      <c r="GL321" s="21"/>
      <c r="GM321" s="19"/>
      <c r="GN321" s="19"/>
      <c r="GO321" s="22"/>
      <c r="GP321" s="22"/>
      <c r="GQ321" s="22"/>
      <c r="GR321" s="22"/>
      <c r="GS321" s="22"/>
      <c r="GT321" s="22"/>
      <c r="GU321" s="43"/>
      <c r="GV321" s="19"/>
      <c r="GW321" s="19"/>
      <c r="GX321" s="19"/>
      <c r="GY321" s="19"/>
      <c r="GZ321" s="23"/>
      <c r="HA321" s="22"/>
      <c r="HB321" s="22"/>
      <c r="HC321" s="22"/>
      <c r="HD321" s="22"/>
      <c r="HE321" s="22"/>
      <c r="HF321" s="22"/>
      <c r="HG321" s="233"/>
    </row>
    <row r="322" spans="2:215" ht="15.75">
      <c r="B322" s="10"/>
      <c r="C322" s="161" t="s">
        <v>696</v>
      </c>
      <c r="D322" s="73">
        <f>+'[2]2012(объемы годовые)'!I342</f>
        <v>4691</v>
      </c>
      <c r="E322" s="73">
        <f>+'[2]2012(объемы годовые)'!M342</f>
        <v>659</v>
      </c>
      <c r="F322" s="74">
        <f>+E322*$F$3</f>
        <v>364.16339999999997</v>
      </c>
      <c r="G322" s="74">
        <f>+E322*$G$3</f>
        <v>98.256900000000002</v>
      </c>
      <c r="H322" s="74">
        <f>+E322*$H$3</f>
        <v>196.5797</v>
      </c>
      <c r="I322" s="73">
        <f>+'[2]2012(объемы годовые)'!Q342+'[2]2012(объемы годовые)'!U342+'[2]2012(объемы годовые)'!Y342</f>
        <v>4032</v>
      </c>
      <c r="J322" s="74">
        <f>+I322*$J$3</f>
        <v>2228.0832</v>
      </c>
      <c r="K322" s="74">
        <f>+I322*$K$3</f>
        <v>601.1712</v>
      </c>
      <c r="L322" s="74">
        <f>+I322*$L$3</f>
        <v>1202.7456</v>
      </c>
      <c r="M322" s="191">
        <f>+N322+R322</f>
        <v>3772</v>
      </c>
      <c r="N322" s="75">
        <f>+O322+P322+Q322</f>
        <v>659</v>
      </c>
      <c r="O322" s="74">
        <v>401.99000000000007</v>
      </c>
      <c r="P322" s="74"/>
      <c r="Q322" s="74">
        <v>257.01</v>
      </c>
      <c r="R322" s="75">
        <f>+S322+T322+U322</f>
        <v>3113</v>
      </c>
      <c r="S322" s="74">
        <v>1668.838</v>
      </c>
      <c r="T322" s="74">
        <v>15.087999999999999</v>
      </c>
      <c r="U322" s="74">
        <v>1429.0740000000001</v>
      </c>
      <c r="V322" s="52">
        <v>1235.21</v>
      </c>
      <c r="W322" s="52">
        <v>1235.21</v>
      </c>
      <c r="X322" s="52">
        <f t="shared" si="1198"/>
        <v>100</v>
      </c>
      <c r="Y322" s="52">
        <v>1308.0899999999999</v>
      </c>
      <c r="Z322" s="22">
        <f t="shared" si="1192"/>
        <v>105.90021130010281</v>
      </c>
      <c r="AA322" s="141">
        <v>1370.88</v>
      </c>
      <c r="AB322" s="22">
        <f t="shared" si="1193"/>
        <v>104.80012843152994</v>
      </c>
      <c r="AC322" s="141">
        <v>1370.88</v>
      </c>
      <c r="AD322" s="141">
        <v>1370.88</v>
      </c>
      <c r="AE322" s="22">
        <f t="shared" si="1185"/>
        <v>111.69978408029877</v>
      </c>
      <c r="AF322" s="22">
        <v>1531.27</v>
      </c>
      <c r="AG322" s="22">
        <f t="shared" si="1258"/>
        <v>111.69978408029877</v>
      </c>
      <c r="AH322" s="77">
        <v>874</v>
      </c>
      <c r="AI322" s="77">
        <v>874</v>
      </c>
      <c r="AJ322" s="52">
        <f t="shared" si="1194"/>
        <v>100</v>
      </c>
      <c r="AK322" s="52">
        <v>925.57</v>
      </c>
      <c r="AL322" s="22">
        <f t="shared" si="1195"/>
        <v>105.9004576659039</v>
      </c>
      <c r="AM322" s="22">
        <v>970</v>
      </c>
      <c r="AN322" s="22">
        <f t="shared" si="1196"/>
        <v>104.80028522964227</v>
      </c>
      <c r="AO322" s="22">
        <f t="shared" si="1199"/>
        <v>110.98355745176933</v>
      </c>
      <c r="AP322" s="22">
        <f t="shared" si="1197"/>
        <v>110.98398169336386</v>
      </c>
      <c r="AQ322" s="22">
        <v>970</v>
      </c>
      <c r="AR322" s="22">
        <v>970</v>
      </c>
      <c r="AS322" s="22">
        <f t="shared" si="1186"/>
        <v>111.69978408029877</v>
      </c>
      <c r="AT322" s="22">
        <v>1083.4879055788981</v>
      </c>
      <c r="AU322" s="22">
        <f t="shared" si="1237"/>
        <v>111.69978408029877</v>
      </c>
      <c r="AV322" s="77"/>
      <c r="AW322" s="77">
        <f t="shared" si="1267"/>
        <v>43.752198218462055</v>
      </c>
      <c r="AX322" s="78" t="s">
        <v>377</v>
      </c>
      <c r="AY322" s="22">
        <f t="shared" si="1240"/>
        <v>4.6920000000000011</v>
      </c>
      <c r="AZ322" s="22">
        <f>+[8]БПр!$BX$1244/1000</f>
        <v>0.65900000000000014</v>
      </c>
      <c r="BA322" s="22">
        <f>+[8]БПр!$BW$1244/1000</f>
        <v>0</v>
      </c>
      <c r="BB322" s="22">
        <f>+([8]БПр!$BY$1244+[8]БПр!$BO$1244)/1000</f>
        <v>4.0330000000000013</v>
      </c>
      <c r="BC322" s="22">
        <v>1531.27</v>
      </c>
      <c r="BD322" s="22">
        <v>1595.58</v>
      </c>
      <c r="BE322" s="22">
        <f t="shared" si="1241"/>
        <v>104.19978188039994</v>
      </c>
      <c r="BF322" s="22">
        <v>1083.49</v>
      </c>
      <c r="BG322" s="22">
        <v>1128.99</v>
      </c>
      <c r="BH322" s="22">
        <f t="shared" si="1242"/>
        <v>104.19939270320909</v>
      </c>
      <c r="BI322" s="22">
        <f>+BD322-BG322/1.18</f>
        <v>638.80881355932195</v>
      </c>
      <c r="BJ322" s="40" t="s">
        <v>378</v>
      </c>
      <c r="BK322" s="19">
        <f t="shared" si="1268"/>
        <v>5794.3687696610168</v>
      </c>
      <c r="BL322" s="19">
        <f t="shared" si="1200"/>
        <v>488.10677966101696</v>
      </c>
      <c r="BM322" s="19">
        <f t="shared" si="1201"/>
        <v>325.8952700000001</v>
      </c>
      <c r="BN322" s="19">
        <f t="shared" si="1202"/>
        <v>4980.36672</v>
      </c>
      <c r="BO322" s="19">
        <f t="shared" si="1269"/>
        <v>6136.2510835593212</v>
      </c>
      <c r="BP322" s="19">
        <f t="shared" si="1203"/>
        <v>516.90731355932212</v>
      </c>
      <c r="BQ322" s="19">
        <f t="shared" si="1204"/>
        <v>345.12488999999994</v>
      </c>
      <c r="BR322" s="19">
        <f t="shared" si="1205"/>
        <v>5274.2188799999994</v>
      </c>
      <c r="BS322" s="19">
        <f t="shared" si="1270"/>
        <v>6430.8006489830514</v>
      </c>
      <c r="BT322" s="19">
        <f t="shared" si="1206"/>
        <v>541.72033898305085</v>
      </c>
      <c r="BU322" s="19">
        <f t="shared" si="1207"/>
        <v>361.69215000000008</v>
      </c>
      <c r="BV322" s="19">
        <f t="shared" si="1208"/>
        <v>5527.3881600000004</v>
      </c>
      <c r="BW322" s="19">
        <f t="shared" si="1271"/>
        <v>5170.9619289830516</v>
      </c>
      <c r="BX322" s="19">
        <f t="shared" si="1272"/>
        <v>541.72033898305085</v>
      </c>
      <c r="BY322" s="19">
        <f t="shared" si="1273"/>
        <v>361.69215000000008</v>
      </c>
      <c r="BZ322" s="19">
        <f t="shared" si="1274"/>
        <v>4267.5494400000007</v>
      </c>
      <c r="CA322" s="19">
        <f t="shared" si="1275"/>
        <v>5775.9504989631296</v>
      </c>
      <c r="CB322" s="19">
        <f t="shared" si="1276"/>
        <v>605.10044896313036</v>
      </c>
      <c r="CC322" s="19">
        <f t="shared" si="1277"/>
        <v>404.00653999999997</v>
      </c>
      <c r="CD322" s="19">
        <f t="shared" si="1243"/>
        <v>4766.8435099999997</v>
      </c>
      <c r="CE322" s="48">
        <f t="shared" si="1278"/>
        <v>1599.8608159331836</v>
      </c>
      <c r="CF322" s="48">
        <f t="shared" si="1279"/>
        <v>1308.0899999999997</v>
      </c>
      <c r="CG322" s="48">
        <f t="shared" si="1280"/>
        <v>1370.88</v>
      </c>
      <c r="CH322" s="48">
        <f t="shared" si="1281"/>
        <v>873.99999999999989</v>
      </c>
      <c r="CI322" s="48">
        <f t="shared" si="1282"/>
        <v>925.57000000000016</v>
      </c>
      <c r="CJ322" s="48">
        <f t="shared" si="1283"/>
        <v>970</v>
      </c>
      <c r="CK322" s="48">
        <f t="shared" si="1284"/>
        <v>1235.2097142743587</v>
      </c>
      <c r="CL322" s="48">
        <f t="shared" si="1285"/>
        <v>1308.0901904837608</v>
      </c>
      <c r="CM322" s="48">
        <f t="shared" si="1286"/>
        <v>1370.8805476408127</v>
      </c>
      <c r="CN322" s="48">
        <f t="shared" si="1244"/>
        <v>1304.7268174663106</v>
      </c>
      <c r="CO322" s="48">
        <f t="shared" si="1287"/>
        <v>1370.8800000000003</v>
      </c>
      <c r="CP322" s="48">
        <f t="shared" si="1288"/>
        <v>1531.27</v>
      </c>
      <c r="CQ322" s="48">
        <f t="shared" si="1289"/>
        <v>970</v>
      </c>
      <c r="CR322" s="48">
        <f t="shared" si="1290"/>
        <v>1083.4879055788979</v>
      </c>
      <c r="CS322" s="48">
        <f t="shared" si="1291"/>
        <v>1370.8806810665567</v>
      </c>
      <c r="CT322" s="48">
        <f t="shared" si="1292"/>
        <v>1531.2700156317946</v>
      </c>
      <c r="CU322" s="48">
        <f t="shared" si="1245"/>
        <v>1451.0753483491756</v>
      </c>
      <c r="CV322" s="48">
        <f t="shared" si="1293"/>
        <v>111.21679488178711</v>
      </c>
      <c r="CW322" s="19">
        <f t="shared" si="1294"/>
        <v>508.393864011017</v>
      </c>
      <c r="CX322" s="19">
        <f t="shared" si="1295"/>
        <v>847.83432077100008</v>
      </c>
      <c r="CY322" s="19">
        <f t="shared" si="1296"/>
        <v>566.4385818752819</v>
      </c>
      <c r="CZ322" s="19">
        <f t="shared" si="1297"/>
        <v>944.63175390000015</v>
      </c>
      <c r="DA322" s="21">
        <f t="shared" si="1246"/>
        <v>59.963822123725294</v>
      </c>
      <c r="DB322" s="21">
        <f t="shared" si="1247"/>
        <v>59.963957334346162</v>
      </c>
      <c r="DC322" s="79">
        <f t="shared" si="1298"/>
        <v>111.41727349073732</v>
      </c>
      <c r="DD322" s="79">
        <f t="shared" si="1298"/>
        <v>111.41702225984137</v>
      </c>
      <c r="DE322" s="79">
        <f t="shared" si="1299"/>
        <v>2838.8566886400004</v>
      </c>
      <c r="DF322" s="79">
        <f t="shared" si="1299"/>
        <v>20.683837439999998</v>
      </c>
      <c r="DG322" s="79">
        <f t="shared" si="1249"/>
        <v>2581.8498466800002</v>
      </c>
      <c r="DH322" s="51">
        <f t="shared" si="1250"/>
        <v>5441.3903727600009</v>
      </c>
      <c r="DI322" s="39"/>
      <c r="DJ322" s="80">
        <f t="shared" si="1300"/>
        <v>3201.9689227860003</v>
      </c>
      <c r="DK322" s="39">
        <f t="shared" si="1301"/>
        <v>914.91490332899991</v>
      </c>
      <c r="DL322" s="39">
        <f t="shared" si="1302"/>
        <v>1918.3070672640001</v>
      </c>
      <c r="DM322" s="48">
        <f>+AT322-'[2]тарифы (12-13) население 15%'!AP404</f>
        <v>-32.012094421101892</v>
      </c>
      <c r="DN322" s="39"/>
      <c r="DO322" s="39"/>
      <c r="DP322" s="39"/>
      <c r="DQ322" s="39"/>
      <c r="DR322" s="39"/>
      <c r="DS322" s="39"/>
      <c r="DT322" s="39"/>
      <c r="DU322" s="19">
        <f t="shared" si="1251"/>
        <v>605.10161864406803</v>
      </c>
      <c r="DV322" s="40">
        <f t="shared" si="1259"/>
        <v>630.51221186440694</v>
      </c>
      <c r="DW322" s="40">
        <f t="shared" si="1260"/>
        <v>1051.4872200000002</v>
      </c>
      <c r="DX322" s="21">
        <f>+'[1]тарифы (НВВ) население на 4,2%'!CO419</f>
        <v>59.963957334346162</v>
      </c>
      <c r="DY322" s="21">
        <f t="shared" si="1252"/>
        <v>59.96384928619549</v>
      </c>
      <c r="DZ322" s="19">
        <f t="shared" si="1253"/>
        <v>7.1847188400000013</v>
      </c>
      <c r="EA322" s="19">
        <f t="shared" si="1254"/>
        <v>7.4864613600000007</v>
      </c>
      <c r="EB322" s="19"/>
      <c r="EC322" s="48">
        <f>+(BC322-BF322/1.18)*AZ322</f>
        <v>404.00531135593229</v>
      </c>
      <c r="ED322" s="48">
        <f>+(BD322-BG322/1.18)*AZ322</f>
        <v>420.97500813559327</v>
      </c>
      <c r="EE322" s="22">
        <v>1595.58</v>
      </c>
      <c r="EF322" s="22">
        <v>1707.27</v>
      </c>
      <c r="EG322" s="22">
        <f t="shared" si="1238"/>
        <v>106.99996239611929</v>
      </c>
      <c r="EH322" s="22">
        <v>1128.99</v>
      </c>
      <c r="EI322" s="22">
        <v>1224.3800000000001</v>
      </c>
      <c r="EJ322" s="22">
        <f t="shared" si="1239"/>
        <v>108.44914481084864</v>
      </c>
      <c r="EK322" s="40" t="s">
        <v>454</v>
      </c>
      <c r="EL322" s="19">
        <f>+AY322</f>
        <v>4.6920000000000011</v>
      </c>
      <c r="EM322" s="19">
        <f>+AZ322</f>
        <v>0.65900000000000014</v>
      </c>
      <c r="EN322" s="40">
        <f t="shared" si="1219"/>
        <v>683.78510169491551</v>
      </c>
      <c r="EO322" s="40">
        <f t="shared" si="1220"/>
        <v>1125.0909300000003</v>
      </c>
      <c r="EP322" s="40"/>
      <c r="EQ322" s="21">
        <f t="shared" si="1210"/>
        <v>60.775985608106829</v>
      </c>
      <c r="ER322" s="21"/>
      <c r="ES322" s="21">
        <f t="shared" si="1263"/>
        <v>7486.4613600000012</v>
      </c>
      <c r="ET322" s="21"/>
      <c r="EU322" s="19">
        <f t="shared" si="1222"/>
        <v>8010.5108400000017</v>
      </c>
      <c r="EV322" s="21"/>
      <c r="EW322" s="39"/>
      <c r="EX322" s="39">
        <f t="shared" si="1255"/>
        <v>7486.4613600000012</v>
      </c>
      <c r="EY322" s="39">
        <f t="shared" si="1303"/>
        <v>8010.5108400000017</v>
      </c>
      <c r="EZ322" s="39"/>
      <c r="FA322" s="39"/>
      <c r="FB322" s="39"/>
      <c r="FC322" s="39"/>
      <c r="FD322" s="39"/>
      <c r="FE322" s="39"/>
      <c r="FF322" s="39"/>
      <c r="FG322" s="39"/>
      <c r="FH322" s="39"/>
      <c r="FI322" s="39"/>
      <c r="FJ322" s="19">
        <f t="shared" si="1223"/>
        <v>420.97500813559327</v>
      </c>
      <c r="FK322" s="19">
        <f t="shared" si="1224"/>
        <v>441.30582830508473</v>
      </c>
      <c r="FL322" s="19">
        <f t="shared" si="1211"/>
        <v>862.28083644067806</v>
      </c>
      <c r="FM322" s="19">
        <v>3.6970000000000001</v>
      </c>
      <c r="FN322" s="19">
        <v>0.36699999999999999</v>
      </c>
      <c r="FO322" s="22">
        <v>1588.4</v>
      </c>
      <c r="FP322" s="22">
        <v>1602.52</v>
      </c>
      <c r="FQ322" s="22"/>
      <c r="FR322" s="22">
        <v>1906.08</v>
      </c>
      <c r="FS322" s="22">
        <v>1923.02</v>
      </c>
      <c r="FT322" s="22"/>
      <c r="FU322" s="40" t="s">
        <v>682</v>
      </c>
      <c r="FV322" s="19"/>
      <c r="FW322" s="19"/>
      <c r="FX322" s="19"/>
      <c r="FY322" s="19"/>
      <c r="FZ322" s="19"/>
      <c r="GA322" s="19"/>
      <c r="GB322" s="19"/>
      <c r="GC322" s="20"/>
      <c r="GD322" s="20"/>
      <c r="GE322" s="21"/>
      <c r="GF322" s="21"/>
      <c r="GG322" s="21"/>
      <c r="GH322" s="21"/>
      <c r="GI322" s="21"/>
      <c r="GJ322" s="21"/>
      <c r="GK322" s="21"/>
      <c r="GL322" s="21"/>
      <c r="GM322" s="19"/>
      <c r="GN322" s="19"/>
      <c r="GO322" s="22">
        <v>1602.14</v>
      </c>
      <c r="GP322" s="22">
        <v>1612.59</v>
      </c>
      <c r="GQ322" s="22"/>
      <c r="GR322" s="22">
        <v>1922.57</v>
      </c>
      <c r="GS322" s="22">
        <v>1935.11</v>
      </c>
      <c r="GT322" s="22"/>
      <c r="GU322" s="40" t="s">
        <v>682</v>
      </c>
      <c r="GV322" s="19"/>
      <c r="GW322" s="19"/>
      <c r="GX322" s="19"/>
      <c r="GY322" s="19"/>
      <c r="GZ322" s="23"/>
      <c r="HA322" s="22">
        <v>1612.22</v>
      </c>
      <c r="HB322" s="22">
        <v>1623.57</v>
      </c>
      <c r="HC322" s="22"/>
      <c r="HD322" s="22">
        <v>1934.66</v>
      </c>
      <c r="HE322" s="22">
        <v>1948.28</v>
      </c>
      <c r="HF322" s="22"/>
      <c r="HG322" s="236" t="s">
        <v>682</v>
      </c>
    </row>
    <row r="323" spans="2:215" ht="15.75">
      <c r="B323" s="10"/>
      <c r="C323" s="184" t="s">
        <v>697</v>
      </c>
      <c r="D323" s="73">
        <f>+'[2]2012(объемы годовые)'!I343</f>
        <v>11200</v>
      </c>
      <c r="E323" s="73">
        <f>+'[2]2012(объемы годовые)'!M343</f>
        <v>3085.68</v>
      </c>
      <c r="F323" s="74" t="e">
        <f>+E323*#REF!</f>
        <v>#REF!</v>
      </c>
      <c r="G323" s="74" t="e">
        <f>+E323*#REF!</f>
        <v>#REF!</v>
      </c>
      <c r="H323" s="74" t="e">
        <f>+E323*#REF!</f>
        <v>#REF!</v>
      </c>
      <c r="I323" s="73">
        <f>+'[2]2012(объемы годовые)'!Q343+'[2]2012(объемы годовые)'!U343+'[2]2012(объемы годовые)'!Y343</f>
        <v>8114.32</v>
      </c>
      <c r="J323" s="74" t="e">
        <f>+I323*#REF!</f>
        <v>#REF!</v>
      </c>
      <c r="K323" s="74" t="e">
        <f>+I323*#REF!</f>
        <v>#REF!</v>
      </c>
      <c r="L323" s="74" t="e">
        <f>+I323*#REF!</f>
        <v>#REF!</v>
      </c>
      <c r="M323" s="143">
        <f t="shared" si="1264"/>
        <v>11200</v>
      </c>
      <c r="N323" s="73">
        <f t="shared" si="1265"/>
        <v>3085.68</v>
      </c>
      <c r="O323" s="74">
        <v>1542.84</v>
      </c>
      <c r="P323" s="74"/>
      <c r="Q323" s="74">
        <v>1542.84</v>
      </c>
      <c r="R323" s="73">
        <f t="shared" si="1266"/>
        <v>8114.32</v>
      </c>
      <c r="S323" s="74">
        <v>4057.16</v>
      </c>
      <c r="T323" s="74"/>
      <c r="U323" s="74">
        <v>4057.16</v>
      </c>
      <c r="V323" s="130">
        <v>19.34</v>
      </c>
      <c r="W323" s="52">
        <v>19.34</v>
      </c>
      <c r="X323" s="52">
        <f t="shared" si="1198"/>
        <v>100</v>
      </c>
      <c r="Y323" s="52">
        <v>20.48</v>
      </c>
      <c r="Z323" s="22">
        <f t="shared" si="1192"/>
        <v>105.89451913133404</v>
      </c>
      <c r="AA323" s="52">
        <v>21.61</v>
      </c>
      <c r="AB323" s="22">
        <f t="shared" si="1193"/>
        <v>105.517578125</v>
      </c>
      <c r="AC323" s="52">
        <v>21.61</v>
      </c>
      <c r="AD323" s="52">
        <v>21.61</v>
      </c>
      <c r="AE323" s="22">
        <f t="shared" si="1185"/>
        <v>110.45812124016661</v>
      </c>
      <c r="AF323" s="22">
        <v>23.87</v>
      </c>
      <c r="AG323" s="22">
        <f t="shared" si="1258"/>
        <v>110.45812124016661</v>
      </c>
      <c r="AH323" s="52">
        <v>22.82</v>
      </c>
      <c r="AI323" s="52">
        <v>22.82</v>
      </c>
      <c r="AJ323" s="52">
        <f t="shared" si="1194"/>
        <v>100</v>
      </c>
      <c r="AK323" s="52">
        <v>24.17</v>
      </c>
      <c r="AL323" s="22">
        <f t="shared" si="1195"/>
        <v>105.91586327782647</v>
      </c>
      <c r="AM323" s="22">
        <v>25.5</v>
      </c>
      <c r="AN323" s="22">
        <f t="shared" si="1196"/>
        <v>105.50268928423665</v>
      </c>
      <c r="AO323" s="22">
        <f t="shared" si="1199"/>
        <v>111.73733195449844</v>
      </c>
      <c r="AP323" s="22">
        <f t="shared" si="1197"/>
        <v>111.74408413672217</v>
      </c>
      <c r="AQ323" s="22">
        <v>25.5</v>
      </c>
      <c r="AR323" s="22">
        <v>25.5</v>
      </c>
      <c r="AS323" s="22">
        <f t="shared" si="1186"/>
        <v>110.47058823529412</v>
      </c>
      <c r="AT323" s="22">
        <v>28.17</v>
      </c>
      <c r="AU323" s="22">
        <f t="shared" si="1237"/>
        <v>110.47058823529412</v>
      </c>
      <c r="AV323" s="77"/>
      <c r="AW323" s="77">
        <f t="shared" si="1267"/>
        <v>5.4202276714435405</v>
      </c>
      <c r="AX323" s="78" t="s">
        <v>379</v>
      </c>
      <c r="AY323" s="22">
        <f t="shared" si="1240"/>
        <v>11.2</v>
      </c>
      <c r="AZ323" s="22">
        <f>+[3]БПр!$AC$438/1000</f>
        <v>3.0856799999999991</v>
      </c>
      <c r="BA323" s="22"/>
      <c r="BB323" s="22">
        <f>+[3]БПр!$AD$438/1000+[3]БПр!$R$438/1000</f>
        <v>8.1143199999999993</v>
      </c>
      <c r="BC323" s="22">
        <v>23.873000000000001</v>
      </c>
      <c r="BD323" s="22">
        <v>24.87</v>
      </c>
      <c r="BE323" s="22">
        <f t="shared" si="1241"/>
        <v>104.17626607464499</v>
      </c>
      <c r="BF323" s="22">
        <v>28.17</v>
      </c>
      <c r="BG323" s="22">
        <v>29.35</v>
      </c>
      <c r="BH323" s="22">
        <f t="shared" si="1242"/>
        <v>104.18885339013136</v>
      </c>
      <c r="BI323" s="22"/>
      <c r="BJ323" s="40" t="s">
        <v>380</v>
      </c>
      <c r="BK323" s="19">
        <f t="shared" si="1268"/>
        <v>216.60486202033897</v>
      </c>
      <c r="BL323" s="19">
        <f t="shared" si="1200"/>
        <v>59.673913220338989</v>
      </c>
      <c r="BM323" s="19">
        <f t="shared" si="1201"/>
        <v>0</v>
      </c>
      <c r="BN323" s="19">
        <f t="shared" si="1202"/>
        <v>156.93094879999998</v>
      </c>
      <c r="BO323" s="19">
        <f t="shared" si="1269"/>
        <v>229.38541393898305</v>
      </c>
      <c r="BP323" s="19">
        <f t="shared" si="1203"/>
        <v>63.204140338983059</v>
      </c>
      <c r="BQ323" s="19">
        <f t="shared" si="1204"/>
        <v>0</v>
      </c>
      <c r="BR323" s="19">
        <f t="shared" si="1205"/>
        <v>166.1812736</v>
      </c>
      <c r="BS323" s="19">
        <f t="shared" si="1270"/>
        <v>242.03252299661017</v>
      </c>
      <c r="BT323" s="19">
        <f t="shared" si="1206"/>
        <v>66.68206779661017</v>
      </c>
      <c r="BU323" s="19">
        <f t="shared" si="1207"/>
        <v>0</v>
      </c>
      <c r="BV323" s="19">
        <f t="shared" si="1208"/>
        <v>175.3504552</v>
      </c>
      <c r="BW323" s="19">
        <f t="shared" si="1271"/>
        <v>242.03252299661017</v>
      </c>
      <c r="BX323" s="19">
        <f t="shared" si="1272"/>
        <v>66.68206779661017</v>
      </c>
      <c r="BY323" s="19">
        <f t="shared" si="1273"/>
        <v>0</v>
      </c>
      <c r="BZ323" s="19">
        <f t="shared" si="1274"/>
        <v>175.3504552</v>
      </c>
      <c r="CA323" s="19">
        <f t="shared" si="1275"/>
        <v>267.35289094237288</v>
      </c>
      <c r="CB323" s="19">
        <f t="shared" si="1276"/>
        <v>73.664072542372892</v>
      </c>
      <c r="CC323" s="19">
        <f t="shared" si="1277"/>
        <v>0</v>
      </c>
      <c r="CD323" s="19">
        <f t="shared" si="1243"/>
        <v>193.6888184</v>
      </c>
      <c r="CE323" s="48">
        <f t="shared" si="1278"/>
        <v>19.34</v>
      </c>
      <c r="CF323" s="48">
        <f t="shared" si="1279"/>
        <v>20.48</v>
      </c>
      <c r="CG323" s="48">
        <f t="shared" si="1280"/>
        <v>21.61</v>
      </c>
      <c r="CH323" s="48">
        <f t="shared" si="1281"/>
        <v>22.82</v>
      </c>
      <c r="CI323" s="48">
        <f t="shared" si="1282"/>
        <v>24.170000000000005</v>
      </c>
      <c r="CJ323" s="48">
        <f t="shared" si="1283"/>
        <v>25.500000000000004</v>
      </c>
      <c r="CK323" s="48">
        <f t="shared" si="1284"/>
        <v>19.33971982324455</v>
      </c>
      <c r="CL323" s="48">
        <f t="shared" si="1285"/>
        <v>20.480840530266345</v>
      </c>
      <c r="CM323" s="48">
        <f t="shared" si="1286"/>
        <v>21.610046696125909</v>
      </c>
      <c r="CN323" s="48">
        <f t="shared" si="1244"/>
        <v>20.476869016545603</v>
      </c>
      <c r="CO323" s="48">
        <f t="shared" si="1287"/>
        <v>21.61</v>
      </c>
      <c r="CP323" s="48">
        <f t="shared" si="1288"/>
        <v>23.87</v>
      </c>
      <c r="CQ323" s="48">
        <f t="shared" si="1289"/>
        <v>25.500000000000004</v>
      </c>
      <c r="CR323" s="48">
        <f t="shared" si="1290"/>
        <v>28.170000000000005</v>
      </c>
      <c r="CS323" s="48">
        <f t="shared" si="1291"/>
        <v>21.610046696125909</v>
      </c>
      <c r="CT323" s="48">
        <f t="shared" si="1292"/>
        <v>23.870793834140436</v>
      </c>
      <c r="CU323" s="48">
        <f t="shared" si="1245"/>
        <v>22.740420265133174</v>
      </c>
      <c r="CV323" s="48">
        <f t="shared" si="1293"/>
        <v>111.05418629556398</v>
      </c>
      <c r="CW323" s="19" t="e">
        <f t="shared" si="1294"/>
        <v>#REF!</v>
      </c>
      <c r="CX323" s="19" t="e">
        <f t="shared" si="1295"/>
        <v>#REF!</v>
      </c>
      <c r="CY323" s="19">
        <f t="shared" si="1296"/>
        <v>70.173070169491524</v>
      </c>
      <c r="CZ323" s="19">
        <f t="shared" si="1297"/>
        <v>70.168363199999988</v>
      </c>
      <c r="DA323" s="21" t="e">
        <f t="shared" si="1246"/>
        <v>#REF!</v>
      </c>
      <c r="DB323" s="21">
        <f t="shared" si="1247"/>
        <v>100.00670810786639</v>
      </c>
      <c r="DC323" s="79" t="e">
        <f t="shared" si="1298"/>
        <v>#REF!</v>
      </c>
      <c r="DD323" s="79" t="e">
        <f t="shared" si="1298"/>
        <v>#REF!</v>
      </c>
      <c r="DE323" s="79">
        <f t="shared" si="1299"/>
        <v>121.01600000000001</v>
      </c>
      <c r="DF323" s="79">
        <f t="shared" si="1299"/>
        <v>0</v>
      </c>
      <c r="DG323" s="79">
        <f t="shared" si="1249"/>
        <v>133.672</v>
      </c>
      <c r="DH323" s="51">
        <f t="shared" si="1250"/>
        <v>254.68799999999999</v>
      </c>
      <c r="DI323" s="39"/>
      <c r="DJ323" s="80" t="e">
        <f t="shared" si="1300"/>
        <v>#REF!</v>
      </c>
      <c r="DK323" s="39" t="e">
        <f t="shared" si="1301"/>
        <v>#REF!</v>
      </c>
      <c r="DL323" s="39" t="e">
        <f t="shared" si="1302"/>
        <v>#REF!</v>
      </c>
      <c r="DM323" s="48">
        <f>+AT323-'[2]тарифы (12-13) население 15%'!AP405</f>
        <v>0</v>
      </c>
      <c r="DN323" s="39"/>
      <c r="DO323" s="39"/>
      <c r="DP323" s="39"/>
      <c r="DQ323" s="39"/>
      <c r="DR323" s="39"/>
      <c r="DS323" s="39"/>
      <c r="DT323" s="39"/>
      <c r="DU323" s="19">
        <f t="shared" si="1251"/>
        <v>73.664072542372864</v>
      </c>
      <c r="DV323" s="40">
        <f t="shared" si="1259"/>
        <v>76.749752542372875</v>
      </c>
      <c r="DW323" s="40">
        <f t="shared" si="1260"/>
        <v>76.740861599999974</v>
      </c>
      <c r="DX323" s="21">
        <f>+'[1]тарифы (НВВ) население на 4,2%'!CN420</f>
        <v>100.00017004691455</v>
      </c>
      <c r="DY323" s="21">
        <f t="shared" si="1252"/>
        <v>100.01158566920871</v>
      </c>
      <c r="DZ323" s="19">
        <f t="shared" si="1253"/>
        <v>0.26737759999999999</v>
      </c>
      <c r="EA323" s="19">
        <f t="shared" si="1254"/>
        <v>0.27854399999999996</v>
      </c>
      <c r="EB323" s="19"/>
      <c r="EC323" s="48"/>
      <c r="ED323" s="48"/>
      <c r="EE323" s="22">
        <v>24.87</v>
      </c>
      <c r="EF323" s="22">
        <v>26.36</v>
      </c>
      <c r="EG323" s="22">
        <f t="shared" si="1238"/>
        <v>105.99115400080417</v>
      </c>
      <c r="EH323" s="22">
        <v>29.35</v>
      </c>
      <c r="EI323" s="22">
        <v>31.1</v>
      </c>
      <c r="EJ323" s="22">
        <f t="shared" si="1239"/>
        <v>105.9625212947189</v>
      </c>
      <c r="EK323" s="40" t="s">
        <v>381</v>
      </c>
      <c r="EL323" s="19">
        <v>11.53</v>
      </c>
      <c r="EM323" s="19">
        <v>3.56</v>
      </c>
      <c r="EN323" s="40">
        <f t="shared" si="1219"/>
        <v>93.827118644067809</v>
      </c>
      <c r="EO323" s="40">
        <f t="shared" si="1220"/>
        <v>93.8416</v>
      </c>
      <c r="EP323" s="40"/>
      <c r="EQ323" s="21">
        <f t="shared" si="1210"/>
        <v>99.984568298140502</v>
      </c>
      <c r="ER323" s="21"/>
      <c r="ES323" s="21">
        <f t="shared" si="1263"/>
        <v>286.75110000000001</v>
      </c>
      <c r="ET323" s="21"/>
      <c r="EU323" s="19">
        <f t="shared" si="1222"/>
        <v>303.93079999999998</v>
      </c>
      <c r="EV323" s="21"/>
      <c r="EW323" s="39"/>
      <c r="EX323" s="39">
        <f t="shared" si="1255"/>
        <v>278.54399999999998</v>
      </c>
      <c r="EY323" s="39">
        <f t="shared" si="1303"/>
        <v>295.23199999999997</v>
      </c>
      <c r="EZ323" s="39"/>
      <c r="FA323" s="39"/>
      <c r="FB323" s="39"/>
      <c r="FC323" s="39"/>
      <c r="FD323" s="39"/>
      <c r="FE323" s="39"/>
      <c r="FF323" s="39"/>
      <c r="FG323" s="39"/>
      <c r="FH323" s="39"/>
      <c r="FI323" s="39"/>
      <c r="FJ323" s="19"/>
      <c r="FK323" s="19"/>
      <c r="FL323" s="19">
        <f t="shared" si="1211"/>
        <v>0</v>
      </c>
      <c r="FM323" s="19">
        <v>11.53</v>
      </c>
      <c r="FN323" s="19">
        <v>3.54</v>
      </c>
      <c r="FO323" s="22">
        <v>31.11</v>
      </c>
      <c r="FP323" s="22">
        <v>31.74</v>
      </c>
      <c r="FQ323" s="22"/>
      <c r="FR323" s="22">
        <v>37.33</v>
      </c>
      <c r="FS323" s="22">
        <v>38.090000000000003</v>
      </c>
      <c r="FT323" s="22"/>
      <c r="FU323" s="40" t="s">
        <v>698</v>
      </c>
      <c r="FV323" s="19"/>
      <c r="FW323" s="19"/>
      <c r="FX323" s="19"/>
      <c r="FY323" s="19"/>
      <c r="FZ323" s="19"/>
      <c r="GA323" s="19"/>
      <c r="GB323" s="19"/>
      <c r="GC323" s="20"/>
      <c r="GD323" s="20"/>
      <c r="GE323" s="21"/>
      <c r="GF323" s="21"/>
      <c r="GG323" s="21"/>
      <c r="GH323" s="21"/>
      <c r="GI323" s="21"/>
      <c r="GJ323" s="21"/>
      <c r="GK323" s="21"/>
      <c r="GL323" s="21"/>
      <c r="GM323" s="19"/>
      <c r="GN323" s="19"/>
      <c r="GO323" s="22">
        <v>31.74</v>
      </c>
      <c r="GP323" s="22">
        <v>29.48</v>
      </c>
      <c r="GQ323" s="22"/>
      <c r="GR323" s="22">
        <v>38.090000000000003</v>
      </c>
      <c r="GS323" s="22">
        <v>35.380000000000003</v>
      </c>
      <c r="GT323" s="22"/>
      <c r="GU323" s="40" t="s">
        <v>698</v>
      </c>
      <c r="GV323" s="19"/>
      <c r="GW323" s="19"/>
      <c r="GX323" s="19"/>
      <c r="GY323" s="19"/>
      <c r="GZ323" s="23"/>
      <c r="HA323" s="22">
        <v>29.48</v>
      </c>
      <c r="HB323" s="22">
        <v>30.34</v>
      </c>
      <c r="HC323" s="22"/>
      <c r="HD323" s="22">
        <v>35.380000000000003</v>
      </c>
      <c r="HE323" s="22">
        <v>36.409999999999997</v>
      </c>
      <c r="HF323" s="22"/>
      <c r="HG323" s="236" t="s">
        <v>698</v>
      </c>
    </row>
    <row r="324" spans="2:215" ht="16.5" customHeight="1">
      <c r="B324" s="10" t="s">
        <v>455</v>
      </c>
      <c r="C324" s="81" t="s">
        <v>264</v>
      </c>
      <c r="D324" s="46"/>
      <c r="E324" s="46"/>
      <c r="F324" s="46"/>
      <c r="G324" s="46"/>
      <c r="H324" s="46"/>
      <c r="I324" s="46"/>
      <c r="J324" s="46"/>
      <c r="K324" s="46"/>
      <c r="L324" s="46"/>
      <c r="M324" s="143">
        <f t="shared" si="1264"/>
        <v>0</v>
      </c>
      <c r="N324" s="73">
        <f t="shared" si="1265"/>
        <v>0</v>
      </c>
      <c r="O324" s="46"/>
      <c r="P324" s="46"/>
      <c r="Q324" s="46"/>
      <c r="R324" s="73">
        <f t="shared" si="1266"/>
        <v>0</v>
      </c>
      <c r="S324" s="46"/>
      <c r="T324" s="46"/>
      <c r="U324" s="46"/>
      <c r="V324" s="52"/>
      <c r="W324" s="52"/>
      <c r="X324" s="52">
        <f t="shared" si="1198"/>
        <v>0</v>
      </c>
      <c r="Y324" s="52"/>
      <c r="Z324" s="22">
        <f t="shared" si="1192"/>
        <v>0</v>
      </c>
      <c r="AA324" s="52"/>
      <c r="AB324" s="22">
        <f t="shared" si="1193"/>
        <v>0</v>
      </c>
      <c r="AC324" s="22"/>
      <c r="AD324" s="22"/>
      <c r="AE324" s="22">
        <f t="shared" si="1185"/>
        <v>0</v>
      </c>
      <c r="AF324" s="22"/>
      <c r="AG324" s="22">
        <f t="shared" si="1258"/>
        <v>0</v>
      </c>
      <c r="AH324" s="52"/>
      <c r="AI324" s="52"/>
      <c r="AJ324" s="52">
        <f t="shared" si="1194"/>
        <v>0</v>
      </c>
      <c r="AK324" s="52"/>
      <c r="AL324" s="22">
        <f t="shared" si="1195"/>
        <v>0</v>
      </c>
      <c r="AM324" s="52"/>
      <c r="AN324" s="22">
        <f t="shared" si="1196"/>
        <v>0</v>
      </c>
      <c r="AO324" s="22">
        <f t="shared" si="1199"/>
        <v>0</v>
      </c>
      <c r="AP324" s="22">
        <f t="shared" si="1197"/>
        <v>0</v>
      </c>
      <c r="AQ324" s="22"/>
      <c r="AR324" s="22"/>
      <c r="AS324" s="22">
        <f t="shared" si="1186"/>
        <v>0</v>
      </c>
      <c r="AT324" s="22"/>
      <c r="AU324" s="22">
        <f t="shared" si="1237"/>
        <v>0</v>
      </c>
      <c r="AV324" s="77"/>
      <c r="AW324" s="77">
        <f t="shared" si="1267"/>
        <v>0</v>
      </c>
      <c r="AX324" s="78"/>
      <c r="AY324" s="22">
        <f t="shared" si="1240"/>
        <v>0</v>
      </c>
      <c r="AZ324" s="22"/>
      <c r="BA324" s="22"/>
      <c r="BB324" s="22"/>
      <c r="BC324" s="22"/>
      <c r="BD324" s="22"/>
      <c r="BE324" s="22">
        <f t="shared" si="1241"/>
        <v>0</v>
      </c>
      <c r="BF324" s="22"/>
      <c r="BG324" s="22"/>
      <c r="BH324" s="22">
        <f t="shared" si="1242"/>
        <v>0</v>
      </c>
      <c r="BI324" s="22"/>
      <c r="BJ324" s="40"/>
      <c r="BK324" s="19">
        <f t="shared" si="1268"/>
        <v>0</v>
      </c>
      <c r="BL324" s="19">
        <f t="shared" si="1200"/>
        <v>0</v>
      </c>
      <c r="BM324" s="19">
        <f t="shared" si="1201"/>
        <v>0</v>
      </c>
      <c r="BN324" s="19">
        <f t="shared" si="1202"/>
        <v>0</v>
      </c>
      <c r="BO324" s="19">
        <f t="shared" si="1269"/>
        <v>0</v>
      </c>
      <c r="BP324" s="19">
        <f t="shared" si="1203"/>
        <v>0</v>
      </c>
      <c r="BQ324" s="19">
        <f t="shared" si="1204"/>
        <v>0</v>
      </c>
      <c r="BR324" s="19">
        <f t="shared" si="1205"/>
        <v>0</v>
      </c>
      <c r="BS324" s="19">
        <f t="shared" si="1270"/>
        <v>0</v>
      </c>
      <c r="BT324" s="19">
        <f t="shared" si="1206"/>
        <v>0</v>
      </c>
      <c r="BU324" s="19">
        <f t="shared" si="1207"/>
        <v>0</v>
      </c>
      <c r="BV324" s="19">
        <f t="shared" si="1208"/>
        <v>0</v>
      </c>
      <c r="BW324" s="19">
        <f t="shared" si="1271"/>
        <v>0</v>
      </c>
      <c r="BX324" s="19">
        <f t="shared" si="1272"/>
        <v>0</v>
      </c>
      <c r="BY324" s="19">
        <f t="shared" si="1273"/>
        <v>0</v>
      </c>
      <c r="BZ324" s="19">
        <f t="shared" si="1274"/>
        <v>0</v>
      </c>
      <c r="CA324" s="19">
        <f t="shared" si="1275"/>
        <v>0</v>
      </c>
      <c r="CB324" s="19">
        <f t="shared" si="1276"/>
        <v>0</v>
      </c>
      <c r="CC324" s="19">
        <f t="shared" si="1277"/>
        <v>0</v>
      </c>
      <c r="CD324" s="19">
        <f t="shared" si="1243"/>
        <v>0</v>
      </c>
      <c r="CE324" s="48">
        <f t="shared" si="1278"/>
        <v>0</v>
      </c>
      <c r="CF324" s="48">
        <f t="shared" si="1279"/>
        <v>0</v>
      </c>
      <c r="CG324" s="48">
        <f t="shared" si="1280"/>
        <v>0</v>
      </c>
      <c r="CH324" s="48">
        <f t="shared" si="1281"/>
        <v>0</v>
      </c>
      <c r="CI324" s="48">
        <f t="shared" si="1282"/>
        <v>0</v>
      </c>
      <c r="CJ324" s="48">
        <f t="shared" si="1283"/>
        <v>0</v>
      </c>
      <c r="CK324" s="48">
        <f t="shared" si="1284"/>
        <v>0</v>
      </c>
      <c r="CL324" s="48">
        <f t="shared" si="1285"/>
        <v>0</v>
      </c>
      <c r="CM324" s="48">
        <f t="shared" si="1286"/>
        <v>0</v>
      </c>
      <c r="CN324" s="48">
        <f t="shared" si="1244"/>
        <v>0</v>
      </c>
      <c r="CO324" s="48">
        <f t="shared" si="1287"/>
        <v>0</v>
      </c>
      <c r="CP324" s="48">
        <f t="shared" si="1288"/>
        <v>0</v>
      </c>
      <c r="CQ324" s="48">
        <f t="shared" si="1289"/>
        <v>0</v>
      </c>
      <c r="CR324" s="48">
        <f t="shared" si="1290"/>
        <v>0</v>
      </c>
      <c r="CS324" s="48">
        <f t="shared" si="1291"/>
        <v>0</v>
      </c>
      <c r="CT324" s="48">
        <f t="shared" si="1292"/>
        <v>0</v>
      </c>
      <c r="CU324" s="48">
        <f t="shared" si="1245"/>
        <v>0</v>
      </c>
      <c r="CV324" s="48">
        <f t="shared" si="1293"/>
        <v>0</v>
      </c>
      <c r="CW324" s="19">
        <f t="shared" si="1294"/>
        <v>0</v>
      </c>
      <c r="CX324" s="19">
        <f t="shared" si="1295"/>
        <v>0</v>
      </c>
      <c r="CY324" s="19">
        <f t="shared" si="1296"/>
        <v>0</v>
      </c>
      <c r="CZ324" s="19">
        <f t="shared" si="1297"/>
        <v>0</v>
      </c>
      <c r="DA324" s="21">
        <f t="shared" si="1246"/>
        <v>0</v>
      </c>
      <c r="DB324" s="21">
        <f t="shared" si="1247"/>
        <v>0</v>
      </c>
      <c r="DC324" s="79">
        <f t="shared" si="1298"/>
        <v>0</v>
      </c>
      <c r="DD324" s="79">
        <f t="shared" si="1298"/>
        <v>0</v>
      </c>
      <c r="DE324" s="79">
        <f t="shared" si="1299"/>
        <v>0</v>
      </c>
      <c r="DF324" s="79">
        <f t="shared" si="1299"/>
        <v>0</v>
      </c>
      <c r="DG324" s="79">
        <f t="shared" si="1249"/>
        <v>0</v>
      </c>
      <c r="DH324" s="51">
        <f t="shared" si="1250"/>
        <v>0</v>
      </c>
      <c r="DI324" s="39"/>
      <c r="DJ324" s="80">
        <f t="shared" si="1300"/>
        <v>0</v>
      </c>
      <c r="DK324" s="39">
        <f t="shared" si="1301"/>
        <v>0</v>
      </c>
      <c r="DL324" s="39">
        <f t="shared" si="1302"/>
        <v>0</v>
      </c>
      <c r="DM324" s="48">
        <f>+AT324-'[2]тарифы (12-13) население 15%'!AP406</f>
        <v>0</v>
      </c>
      <c r="DN324" s="39"/>
      <c r="DO324" s="39"/>
      <c r="DP324" s="39"/>
      <c r="DQ324" s="39"/>
      <c r="DR324" s="39"/>
      <c r="DS324" s="39"/>
      <c r="DT324" s="39"/>
      <c r="DU324" s="19">
        <f t="shared" si="1251"/>
        <v>0</v>
      </c>
      <c r="DV324" s="40">
        <f t="shared" si="1259"/>
        <v>0</v>
      </c>
      <c r="DW324" s="40">
        <f t="shared" si="1260"/>
        <v>0</v>
      </c>
      <c r="DX324" s="46"/>
      <c r="DY324" s="21">
        <f t="shared" si="1252"/>
        <v>0</v>
      </c>
      <c r="DZ324" s="19">
        <f t="shared" si="1253"/>
        <v>0</v>
      </c>
      <c r="EA324" s="19">
        <f t="shared" si="1254"/>
        <v>0</v>
      </c>
      <c r="EB324" s="19"/>
      <c r="EC324" s="48">
        <f t="shared" si="1261"/>
        <v>0</v>
      </c>
      <c r="ED324" s="48">
        <f t="shared" si="1262"/>
        <v>0</v>
      </c>
      <c r="EE324" s="22"/>
      <c r="EF324" s="22"/>
      <c r="EG324" s="22">
        <f t="shared" si="1238"/>
        <v>0</v>
      </c>
      <c r="EH324" s="22"/>
      <c r="EI324" s="22"/>
      <c r="EJ324" s="22">
        <f t="shared" si="1239"/>
        <v>0</v>
      </c>
      <c r="EK324" s="40"/>
      <c r="EL324" s="19"/>
      <c r="EM324" s="19"/>
      <c r="EN324" s="40">
        <f t="shared" si="1219"/>
        <v>0</v>
      </c>
      <c r="EO324" s="40">
        <f t="shared" si="1220"/>
        <v>0</v>
      </c>
      <c r="EP324" s="40"/>
      <c r="EQ324" s="21">
        <f t="shared" si="1210"/>
        <v>0</v>
      </c>
      <c r="ER324" s="21"/>
      <c r="ES324" s="21">
        <f t="shared" si="1263"/>
        <v>0</v>
      </c>
      <c r="ET324" s="21"/>
      <c r="EU324" s="19">
        <f t="shared" si="1222"/>
        <v>0</v>
      </c>
      <c r="EV324" s="21"/>
      <c r="EW324" s="39"/>
      <c r="EX324" s="39">
        <f t="shared" si="1255"/>
        <v>0</v>
      </c>
      <c r="EY324" s="39">
        <f t="shared" si="1303"/>
        <v>0</v>
      </c>
      <c r="EZ324" s="39"/>
      <c r="FA324" s="39"/>
      <c r="FB324" s="39"/>
      <c r="FC324" s="39"/>
      <c r="FD324" s="39"/>
      <c r="FE324" s="39"/>
      <c r="FF324" s="39"/>
      <c r="FG324" s="39"/>
      <c r="FH324" s="39"/>
      <c r="FI324" s="39"/>
      <c r="FJ324" s="19">
        <f t="shared" si="1223"/>
        <v>0</v>
      </c>
      <c r="FK324" s="19">
        <f t="shared" si="1224"/>
        <v>0</v>
      </c>
      <c r="FL324" s="19">
        <f t="shared" si="1211"/>
        <v>0</v>
      </c>
      <c r="FM324" s="19"/>
      <c r="FN324" s="19"/>
      <c r="FO324" s="22"/>
      <c r="FP324" s="22"/>
      <c r="FQ324" s="22"/>
      <c r="FR324" s="22"/>
      <c r="FS324" s="22"/>
      <c r="FT324" s="22"/>
      <c r="FU324" s="40"/>
      <c r="FV324" s="19"/>
      <c r="FW324" s="19"/>
      <c r="FX324" s="19"/>
      <c r="FY324" s="19"/>
      <c r="FZ324" s="19"/>
      <c r="GA324" s="19"/>
      <c r="GB324" s="19"/>
      <c r="GC324" s="20"/>
      <c r="GD324" s="20"/>
      <c r="GE324" s="21"/>
      <c r="GF324" s="21"/>
      <c r="GG324" s="21"/>
      <c r="GH324" s="21"/>
      <c r="GI324" s="21"/>
      <c r="GJ324" s="21"/>
      <c r="GK324" s="21"/>
      <c r="GL324" s="21"/>
      <c r="GM324" s="19"/>
      <c r="GN324" s="19"/>
      <c r="GO324" s="22"/>
      <c r="GP324" s="22"/>
      <c r="GQ324" s="22"/>
      <c r="GR324" s="22"/>
      <c r="GS324" s="22"/>
      <c r="GT324" s="22"/>
      <c r="GU324" s="43"/>
      <c r="GV324" s="19"/>
      <c r="GW324" s="19"/>
      <c r="GX324" s="19"/>
      <c r="GY324" s="19"/>
      <c r="GZ324" s="23"/>
      <c r="HA324" s="22"/>
      <c r="HB324" s="22"/>
      <c r="HC324" s="22"/>
      <c r="HD324" s="22"/>
      <c r="HE324" s="22"/>
      <c r="HF324" s="22"/>
      <c r="HG324" s="233"/>
    </row>
    <row r="325" spans="2:215" ht="15.75">
      <c r="B325" s="10"/>
      <c r="C325" s="161" t="s">
        <v>204</v>
      </c>
      <c r="D325" s="73">
        <f>+'[2]2012(объемы годовые)'!I345</f>
        <v>4180.08</v>
      </c>
      <c r="E325" s="73">
        <f>+'[2]2012(объемы годовые)'!M345</f>
        <v>306</v>
      </c>
      <c r="F325" s="74">
        <f>+E325*$F$3</f>
        <v>169.09559999999999</v>
      </c>
      <c r="G325" s="74">
        <f>+E325*$G$3</f>
        <v>45.624600000000001</v>
      </c>
      <c r="H325" s="74">
        <f>+E325*$H$3</f>
        <v>91.279800000000009</v>
      </c>
      <c r="I325" s="73">
        <f>+'[2]2012(объемы годовые)'!Q345+'[2]2012(объемы годовые)'!U345+'[2]2012(объемы годовые)'!Y345</f>
        <v>3874.08</v>
      </c>
      <c r="J325" s="74">
        <f>+I325*$J$3</f>
        <v>2140.8166080000001</v>
      </c>
      <c r="K325" s="74">
        <f>+I325*$K$3</f>
        <v>577.62532800000008</v>
      </c>
      <c r="L325" s="74">
        <f>+I325*$L$3</f>
        <v>1155.638064</v>
      </c>
      <c r="M325" s="191">
        <f t="shared" si="1264"/>
        <v>3203.0801000000001</v>
      </c>
      <c r="N325" s="75">
        <f>+O325+P325+Q325</f>
        <v>306</v>
      </c>
      <c r="O325" s="74">
        <v>176.92920000000001</v>
      </c>
      <c r="P325" s="74">
        <v>2.5703999999999998</v>
      </c>
      <c r="Q325" s="74">
        <v>126.5004</v>
      </c>
      <c r="R325" s="75">
        <f>+S325+T325+U325</f>
        <v>2897.0801000000001</v>
      </c>
      <c r="S325" s="74">
        <v>1581.5617999999999</v>
      </c>
      <c r="T325" s="74">
        <v>10.241900000000001</v>
      </c>
      <c r="U325" s="74">
        <v>1305.2764000000002</v>
      </c>
      <c r="V325" s="52">
        <v>1278.98</v>
      </c>
      <c r="W325" s="52">
        <v>1278.98</v>
      </c>
      <c r="X325" s="52">
        <f t="shared" si="1198"/>
        <v>100</v>
      </c>
      <c r="Y325" s="52">
        <v>1354.44</v>
      </c>
      <c r="Z325" s="22">
        <f t="shared" si="1192"/>
        <v>105.90001407371498</v>
      </c>
      <c r="AA325" s="52">
        <v>1419.45</v>
      </c>
      <c r="AB325" s="22">
        <f t="shared" si="1193"/>
        <v>104.79976964649597</v>
      </c>
      <c r="AC325" s="52">
        <v>1419.45</v>
      </c>
      <c r="AD325" s="52">
        <v>1419.45</v>
      </c>
      <c r="AE325" s="22">
        <f t="shared" si="1185"/>
        <v>111.69960195850506</v>
      </c>
      <c r="AF325" s="22">
        <v>1585.52</v>
      </c>
      <c r="AG325" s="22">
        <f t="shared" si="1258"/>
        <v>111.69960195850506</v>
      </c>
      <c r="AH325" s="22">
        <v>874</v>
      </c>
      <c r="AI325" s="22">
        <v>874</v>
      </c>
      <c r="AJ325" s="52">
        <f t="shared" si="1194"/>
        <v>100</v>
      </c>
      <c r="AK325" s="22">
        <v>925.57</v>
      </c>
      <c r="AL325" s="22">
        <f t="shared" si="1195"/>
        <v>105.9004576659039</v>
      </c>
      <c r="AM325" s="22">
        <v>970</v>
      </c>
      <c r="AN325" s="22">
        <f t="shared" si="1196"/>
        <v>104.80028522964227</v>
      </c>
      <c r="AO325" s="22">
        <f t="shared" si="1199"/>
        <v>110.98297080486013</v>
      </c>
      <c r="AP325" s="22">
        <f t="shared" si="1197"/>
        <v>110.98398169336386</v>
      </c>
      <c r="AQ325" s="22">
        <v>970</v>
      </c>
      <c r="AR325" s="22">
        <v>970</v>
      </c>
      <c r="AS325" s="22">
        <f t="shared" si="1186"/>
        <v>111.69960195850506</v>
      </c>
      <c r="AT325" s="22">
        <v>1083.486138997499</v>
      </c>
      <c r="AU325" s="22">
        <f t="shared" si="1237"/>
        <v>111.69960195850506</v>
      </c>
      <c r="AV325" s="77"/>
      <c r="AW325" s="77">
        <f t="shared" si="1267"/>
        <v>20.369069793593628</v>
      </c>
      <c r="AX325" s="78" t="s">
        <v>456</v>
      </c>
      <c r="AY325" s="22">
        <f t="shared" si="1240"/>
        <v>16.445</v>
      </c>
      <c r="AZ325" s="22">
        <f>+[8]БПр!$BX$1272/1000</f>
        <v>0.55800000000000016</v>
      </c>
      <c r="BA325" s="22">
        <f>+[8]БПр!$BW$1272/1000</f>
        <v>0.27</v>
      </c>
      <c r="BB325" s="22">
        <f>+([8]БПр!$BY$1272+[8]БПр!$BO$1272)/1000</f>
        <v>15.617000000000001</v>
      </c>
      <c r="BC325" s="22">
        <v>1585.52</v>
      </c>
      <c r="BD325" s="22">
        <v>1642.52</v>
      </c>
      <c r="BE325" s="22">
        <f t="shared" si="1241"/>
        <v>103.5950350673596</v>
      </c>
      <c r="BF325" s="22">
        <v>1083.49</v>
      </c>
      <c r="BG325" s="22">
        <v>1129</v>
      </c>
      <c r="BH325" s="22">
        <f t="shared" si="1242"/>
        <v>104.20031564666033</v>
      </c>
      <c r="BI325" s="22">
        <f>+BD325-BG325/1.18</f>
        <v>685.74033898305083</v>
      </c>
      <c r="BJ325" s="40" t="s">
        <v>457</v>
      </c>
      <c r="BK325" s="19">
        <f t="shared" si="1268"/>
        <v>5346.2380960271184</v>
      </c>
      <c r="BL325" s="19">
        <f t="shared" si="1200"/>
        <v>226.64745762711865</v>
      </c>
      <c r="BM325" s="19">
        <f t="shared" si="1201"/>
        <v>164.71980000000002</v>
      </c>
      <c r="BN325" s="19">
        <f t="shared" si="1202"/>
        <v>4954.8708384000001</v>
      </c>
      <c r="BO325" s="19">
        <f t="shared" si="1269"/>
        <v>5661.6679701152543</v>
      </c>
      <c r="BP325" s="19">
        <f t="shared" si="1203"/>
        <v>240.02069491525427</v>
      </c>
      <c r="BQ325" s="19">
        <f t="shared" si="1204"/>
        <v>174.43836000000002</v>
      </c>
      <c r="BR325" s="19">
        <f t="shared" si="1205"/>
        <v>5247.2089151999999</v>
      </c>
      <c r="BS325" s="19">
        <f t="shared" si="1270"/>
        <v>5933.4157488813553</v>
      </c>
      <c r="BT325" s="19">
        <f t="shared" si="1206"/>
        <v>251.54237288135596</v>
      </c>
      <c r="BU325" s="19">
        <f t="shared" si="1207"/>
        <v>182.81052000000003</v>
      </c>
      <c r="BV325" s="19">
        <f t="shared" si="1208"/>
        <v>5499.0628559999996</v>
      </c>
      <c r="BW325" s="19">
        <f t="shared" si="1271"/>
        <v>4546.6132408263566</v>
      </c>
      <c r="BX325" s="19">
        <f t="shared" si="1272"/>
        <v>251.54237288135596</v>
      </c>
      <c r="BY325" s="19">
        <f t="shared" si="1273"/>
        <v>182.81052000000003</v>
      </c>
      <c r="BZ325" s="19">
        <f t="shared" si="1274"/>
        <v>4112.2603479450008</v>
      </c>
      <c r="CA325" s="19">
        <f t="shared" si="1275"/>
        <v>5078.5471294174531</v>
      </c>
      <c r="CB325" s="19">
        <f t="shared" si="1276"/>
        <v>280.97182926545315</v>
      </c>
      <c r="CC325" s="19">
        <f t="shared" si="1277"/>
        <v>204.19685999999999</v>
      </c>
      <c r="CD325" s="19">
        <f t="shared" si="1243"/>
        <v>4593.3784401519997</v>
      </c>
      <c r="CE325" s="48">
        <f t="shared" si="1278"/>
        <v>1710.2981855420567</v>
      </c>
      <c r="CF325" s="48">
        <f t="shared" si="1279"/>
        <v>1354.44</v>
      </c>
      <c r="CG325" s="48">
        <f t="shared" si="1280"/>
        <v>1419.4499999999998</v>
      </c>
      <c r="CH325" s="48">
        <f t="shared" si="1281"/>
        <v>873.99999999999989</v>
      </c>
      <c r="CI325" s="48">
        <f t="shared" si="1282"/>
        <v>925.57000000000016</v>
      </c>
      <c r="CJ325" s="48">
        <f t="shared" si="1283"/>
        <v>970.00000000000011</v>
      </c>
      <c r="CK325" s="48">
        <f t="shared" si="1284"/>
        <v>1278.9798511098159</v>
      </c>
      <c r="CL325" s="48">
        <f t="shared" si="1285"/>
        <v>1354.4400992601229</v>
      </c>
      <c r="CM325" s="48">
        <f t="shared" si="1286"/>
        <v>1419.4502853728529</v>
      </c>
      <c r="CN325" s="48">
        <f t="shared" si="1244"/>
        <v>1350.9567452475969</v>
      </c>
      <c r="CO325" s="48">
        <f t="shared" si="1287"/>
        <v>1419.4500000000003</v>
      </c>
      <c r="CP325" s="48">
        <f t="shared" si="1288"/>
        <v>1585.5199999999998</v>
      </c>
      <c r="CQ325" s="48">
        <f t="shared" si="1289"/>
        <v>970.00000000000011</v>
      </c>
      <c r="CR325" s="48">
        <f t="shared" si="1290"/>
        <v>1083.486138997499</v>
      </c>
      <c r="CS325" s="48">
        <f t="shared" si="1291"/>
        <v>1419.4503724169608</v>
      </c>
      <c r="CT325" s="48">
        <f t="shared" si="1292"/>
        <v>1585.5198655248905</v>
      </c>
      <c r="CU325" s="48">
        <f t="shared" si="1245"/>
        <v>1502.4851189709257</v>
      </c>
      <c r="CV325" s="48">
        <f t="shared" si="1293"/>
        <v>111.21637493253399</v>
      </c>
      <c r="CW325" s="19">
        <f t="shared" si="1294"/>
        <v>236.06756052711864</v>
      </c>
      <c r="CX325" s="19">
        <f t="shared" si="1295"/>
        <v>407.63278582200002</v>
      </c>
      <c r="CY325" s="19">
        <f t="shared" si="1296"/>
        <v>263.70851015054171</v>
      </c>
      <c r="CZ325" s="19">
        <f t="shared" si="1297"/>
        <v>455.35962142799997</v>
      </c>
      <c r="DA325" s="21">
        <f t="shared" si="1246"/>
        <v>57.911818857034149</v>
      </c>
      <c r="DB325" s="21">
        <f t="shared" si="1247"/>
        <v>57.912141907434908</v>
      </c>
      <c r="DC325" s="79">
        <f t="shared" si="1298"/>
        <v>111.70891483849081</v>
      </c>
      <c r="DD325" s="79">
        <f t="shared" si="1298"/>
        <v>111.70829169438807</v>
      </c>
      <c r="DE325" s="79">
        <f t="shared" si="1299"/>
        <v>2496.0900499499999</v>
      </c>
      <c r="DF325" s="79">
        <f t="shared" si="1299"/>
        <v>18.186419235000002</v>
      </c>
      <c r="DG325" s="79">
        <f t="shared" si="1249"/>
        <v>2270.1107519360003</v>
      </c>
      <c r="DH325" s="51">
        <f t="shared" si="1250"/>
        <v>4784.387221121</v>
      </c>
      <c r="DI325" s="39"/>
      <c r="DJ325" s="80">
        <f t="shared" si="1300"/>
        <v>2954.3315157878405</v>
      </c>
      <c r="DK325" s="39">
        <f t="shared" si="1301"/>
        <v>844.15463248032017</v>
      </c>
      <c r="DL325" s="39">
        <f t="shared" si="1302"/>
        <v>1769.9375620548001</v>
      </c>
      <c r="DM325" s="48">
        <f>+AT325-'[2]тарифы (12-13) население 15%'!AP407</f>
        <v>-32.013861002501017</v>
      </c>
      <c r="DN325" s="39"/>
      <c r="DO325" s="39"/>
      <c r="DP325" s="39"/>
      <c r="DQ325" s="39"/>
      <c r="DR325" s="39"/>
      <c r="DS325" s="39"/>
      <c r="DT325" s="39"/>
      <c r="DU325" s="19">
        <f t="shared" si="1251"/>
        <v>512.36222033898321</v>
      </c>
      <c r="DV325" s="40">
        <f t="shared" si="1259"/>
        <v>533.88305084745787</v>
      </c>
      <c r="DW325" s="40">
        <f t="shared" si="1260"/>
        <v>916.52616000000023</v>
      </c>
      <c r="DX325" s="21">
        <f>+'[1]тарифы (НВВ) население на 4,2%'!CO422</f>
        <v>57.912141907434908</v>
      </c>
      <c r="DY325" s="21">
        <f t="shared" si="1252"/>
        <v>58.250716034931038</v>
      </c>
      <c r="DZ325" s="19">
        <f t="shared" si="1253"/>
        <v>26.0738764</v>
      </c>
      <c r="EA325" s="19">
        <f t="shared" si="1254"/>
        <v>27.011241399999999</v>
      </c>
      <c r="EB325" s="19"/>
      <c r="EC325" s="48">
        <f>+(BC325-BF325/1.18)*AZ325</f>
        <v>372.35793966101704</v>
      </c>
      <c r="ED325" s="48">
        <f>+(BD325-BG325/1.18)*AZ325</f>
        <v>382.64310915254248</v>
      </c>
      <c r="EE325" s="22">
        <v>645.62</v>
      </c>
      <c r="EF325" s="22">
        <v>645.62</v>
      </c>
      <c r="EG325" s="22">
        <f t="shared" si="1238"/>
        <v>100</v>
      </c>
      <c r="EH325" s="22">
        <v>761.83</v>
      </c>
      <c r="EI325" s="22">
        <v>761.83</v>
      </c>
      <c r="EJ325" s="22">
        <f t="shared" si="1239"/>
        <v>100</v>
      </c>
      <c r="EK325" s="40" t="s">
        <v>458</v>
      </c>
      <c r="EL325" s="19">
        <v>16.45</v>
      </c>
      <c r="EM325" s="19">
        <v>0.56000000000000005</v>
      </c>
      <c r="EN325" s="40">
        <f t="shared" si="1219"/>
        <v>361.54644067796619</v>
      </c>
      <c r="EO325" s="40">
        <f t="shared" si="1220"/>
        <v>361.54720000000003</v>
      </c>
      <c r="EP325" s="40"/>
      <c r="EQ325" s="21">
        <f t="shared" si="1210"/>
        <v>99.999789979832826</v>
      </c>
      <c r="ER325" s="21"/>
      <c r="ES325" s="21">
        <f t="shared" si="1263"/>
        <v>10620.449000000001</v>
      </c>
      <c r="ET325" s="21"/>
      <c r="EU325" s="19">
        <f t="shared" si="1222"/>
        <v>10620.449000000001</v>
      </c>
      <c r="EV325" s="21"/>
      <c r="EW325" s="39"/>
      <c r="EX325" s="39">
        <f t="shared" si="1255"/>
        <v>27011.241399999999</v>
      </c>
      <c r="EY325" s="39">
        <f t="shared" si="1303"/>
        <v>10617.2209</v>
      </c>
      <c r="EZ325" s="39"/>
      <c r="FA325" s="39"/>
      <c r="FB325" s="39"/>
      <c r="FC325" s="39"/>
      <c r="FD325" s="39"/>
      <c r="FE325" s="39"/>
      <c r="FF325" s="39"/>
      <c r="FG325" s="39"/>
      <c r="FH325" s="39"/>
      <c r="FI325" s="39"/>
      <c r="FJ325" s="19"/>
      <c r="FK325" s="19"/>
      <c r="FL325" s="19">
        <f t="shared" si="1211"/>
        <v>0</v>
      </c>
      <c r="FM325" s="19">
        <v>4.327</v>
      </c>
      <c r="FN325" s="19">
        <v>0.59099999999999997</v>
      </c>
      <c r="FO325" s="22">
        <v>1335.39</v>
      </c>
      <c r="FP325" s="22">
        <v>1364.3</v>
      </c>
      <c r="FQ325" s="22"/>
      <c r="FR325" s="22">
        <v>1602.47</v>
      </c>
      <c r="FS325" s="22">
        <v>1637.16</v>
      </c>
      <c r="FT325" s="22"/>
      <c r="FU325" s="40" t="s">
        <v>699</v>
      </c>
      <c r="FV325" s="19"/>
      <c r="FW325" s="19"/>
      <c r="FX325" s="19"/>
      <c r="FY325" s="19"/>
      <c r="FZ325" s="19"/>
      <c r="GA325" s="19"/>
      <c r="GB325" s="19"/>
      <c r="GC325" s="20"/>
      <c r="GD325" s="20"/>
      <c r="GE325" s="21"/>
      <c r="GF325" s="21"/>
      <c r="GG325" s="21"/>
      <c r="GH325" s="21"/>
      <c r="GI325" s="21"/>
      <c r="GJ325" s="21"/>
      <c r="GK325" s="21"/>
      <c r="GL325" s="21"/>
      <c r="GM325" s="19"/>
      <c r="GN325" s="19"/>
      <c r="GO325" s="22">
        <v>1364.3</v>
      </c>
      <c r="GP325" s="22">
        <v>1514.7</v>
      </c>
      <c r="GQ325" s="22"/>
      <c r="GR325" s="22">
        <v>1637.16</v>
      </c>
      <c r="GS325" s="22">
        <v>1817.64</v>
      </c>
      <c r="GT325" s="22"/>
      <c r="GU325" s="40" t="s">
        <v>699</v>
      </c>
      <c r="GV325" s="19"/>
      <c r="GW325" s="19"/>
      <c r="GX325" s="19"/>
      <c r="GY325" s="19"/>
      <c r="GZ325" s="23"/>
      <c r="HA325" s="22">
        <v>1514.7</v>
      </c>
      <c r="HB325" s="22">
        <v>1659.57</v>
      </c>
      <c r="HC325" s="22"/>
      <c r="HD325" s="22">
        <v>1817.64</v>
      </c>
      <c r="HE325" s="22">
        <v>1991.48</v>
      </c>
      <c r="HF325" s="22"/>
      <c r="HG325" s="236" t="s">
        <v>699</v>
      </c>
    </row>
    <row r="326" spans="2:215" ht="15.75">
      <c r="B326" s="10"/>
      <c r="C326" s="184" t="s">
        <v>131</v>
      </c>
      <c r="D326" s="73">
        <f>+E326+I326</f>
        <v>38202</v>
      </c>
      <c r="E326" s="73">
        <v>19555</v>
      </c>
      <c r="F326" s="74" t="e">
        <f>+E326*#REF!</f>
        <v>#REF!</v>
      </c>
      <c r="G326" s="74" t="e">
        <f>+E326*#REF!</f>
        <v>#REF!</v>
      </c>
      <c r="H326" s="74" t="e">
        <f>+E326*#REF!</f>
        <v>#REF!</v>
      </c>
      <c r="I326" s="73">
        <f>4925+466+13256</f>
        <v>18647</v>
      </c>
      <c r="J326" s="74" t="e">
        <f>+I326*#REF!</f>
        <v>#REF!</v>
      </c>
      <c r="K326" s="74" t="e">
        <f>+I326*#REF!</f>
        <v>#REF!</v>
      </c>
      <c r="L326" s="74" t="e">
        <f>+I326*#REF!</f>
        <v>#REF!</v>
      </c>
      <c r="M326" s="143">
        <f t="shared" si="1264"/>
        <v>38202</v>
      </c>
      <c r="N326" s="73">
        <f t="shared" si="1265"/>
        <v>19555</v>
      </c>
      <c r="O326" s="74">
        <v>9777.5</v>
      </c>
      <c r="P326" s="74"/>
      <c r="Q326" s="74">
        <v>9777.5</v>
      </c>
      <c r="R326" s="73">
        <f t="shared" si="1266"/>
        <v>18647</v>
      </c>
      <c r="S326" s="74">
        <v>9323.5</v>
      </c>
      <c r="T326" s="74"/>
      <c r="U326" s="74">
        <v>9323.5</v>
      </c>
      <c r="V326" s="52"/>
      <c r="W326" s="52"/>
      <c r="X326" s="52"/>
      <c r="Y326" s="52"/>
      <c r="Z326" s="22"/>
      <c r="AA326" s="52">
        <v>19.16</v>
      </c>
      <c r="AB326" s="22"/>
      <c r="AC326" s="52">
        <v>19.16</v>
      </c>
      <c r="AD326" s="52">
        <v>19.16</v>
      </c>
      <c r="AE326" s="22">
        <f t="shared" si="1185"/>
        <v>110.49060542797496</v>
      </c>
      <c r="AF326" s="22">
        <v>21.17</v>
      </c>
      <c r="AG326" s="22">
        <f t="shared" si="1258"/>
        <v>110.49060542797496</v>
      </c>
      <c r="AH326" s="52"/>
      <c r="AI326" s="52"/>
      <c r="AJ326" s="52"/>
      <c r="AK326" s="52"/>
      <c r="AL326" s="22"/>
      <c r="AM326" s="52"/>
      <c r="AN326" s="22"/>
      <c r="AO326" s="22"/>
      <c r="AP326" s="22"/>
      <c r="AQ326" s="22">
        <v>22.61</v>
      </c>
      <c r="AR326" s="22">
        <v>22.61</v>
      </c>
      <c r="AS326" s="22">
        <f t="shared" si="1186"/>
        <v>110.48208757187086</v>
      </c>
      <c r="AT326" s="22">
        <v>24.98</v>
      </c>
      <c r="AU326" s="22">
        <f t="shared" si="1237"/>
        <v>110.48208757187086</v>
      </c>
      <c r="AV326" s="77"/>
      <c r="AW326" s="77">
        <f t="shared" si="1267"/>
        <v>30.458504316500768</v>
      </c>
      <c r="AX326" s="78" t="s">
        <v>265</v>
      </c>
      <c r="AY326" s="22">
        <f t="shared" si="1240"/>
        <v>38.201999999999998</v>
      </c>
      <c r="AZ326" s="22">
        <f>+[3]БПр!$AC$466/1000</f>
        <v>19.554999999999996</v>
      </c>
      <c r="BA326" s="22">
        <f>+[3]БПр!$AB$466/1000</f>
        <v>4.9249999999999998</v>
      </c>
      <c r="BB326" s="22">
        <f>+[3]БПр!$AD$466/1000+[3]БПр!$R$466/1000</f>
        <v>13.722</v>
      </c>
      <c r="BC326" s="22">
        <v>21.17</v>
      </c>
      <c r="BD326" s="22">
        <v>22.05</v>
      </c>
      <c r="BE326" s="22">
        <f t="shared" si="1241"/>
        <v>104.15682569674067</v>
      </c>
      <c r="BF326" s="22">
        <v>24.98</v>
      </c>
      <c r="BG326" s="22">
        <v>26.02</v>
      </c>
      <c r="BH326" s="22">
        <f t="shared" si="1242"/>
        <v>104.16333066453163</v>
      </c>
      <c r="BI326" s="22"/>
      <c r="BJ326" s="40" t="s">
        <v>266</v>
      </c>
      <c r="BK326" s="19">
        <f t="shared" si="1268"/>
        <v>0</v>
      </c>
      <c r="BL326" s="19">
        <f t="shared" si="1200"/>
        <v>0</v>
      </c>
      <c r="BM326" s="19">
        <f t="shared" si="1201"/>
        <v>0</v>
      </c>
      <c r="BN326" s="19">
        <f t="shared" si="1202"/>
        <v>0</v>
      </c>
      <c r="BO326" s="19">
        <f t="shared" si="1269"/>
        <v>0</v>
      </c>
      <c r="BP326" s="19">
        <f t="shared" si="1203"/>
        <v>0</v>
      </c>
      <c r="BQ326" s="19">
        <f t="shared" si="1204"/>
        <v>0</v>
      </c>
      <c r="BR326" s="19">
        <f t="shared" si="1205"/>
        <v>0</v>
      </c>
      <c r="BS326" s="19">
        <f t="shared" si="1270"/>
        <v>731.95031999999992</v>
      </c>
      <c r="BT326" s="19">
        <f t="shared" si="1206"/>
        <v>0</v>
      </c>
      <c r="BU326" s="19">
        <f t="shared" si="1207"/>
        <v>374.67379999999997</v>
      </c>
      <c r="BV326" s="19">
        <f t="shared" si="1208"/>
        <v>357.27652</v>
      </c>
      <c r="BW326" s="19">
        <f t="shared" si="1271"/>
        <v>731.97020644067788</v>
      </c>
      <c r="BX326" s="19">
        <f t="shared" si="1272"/>
        <v>374.69368644067794</v>
      </c>
      <c r="BY326" s="19">
        <f t="shared" si="1273"/>
        <v>0</v>
      </c>
      <c r="BZ326" s="19">
        <f t="shared" si="1274"/>
        <v>357.27652</v>
      </c>
      <c r="CA326" s="19">
        <f t="shared" si="1275"/>
        <v>808.72639677966106</v>
      </c>
      <c r="CB326" s="19">
        <f t="shared" si="1276"/>
        <v>413.96940677966103</v>
      </c>
      <c r="CC326" s="19">
        <f t="shared" si="1277"/>
        <v>0</v>
      </c>
      <c r="CD326" s="19">
        <f t="shared" si="1243"/>
        <v>394.75699000000003</v>
      </c>
      <c r="CE326" s="48">
        <f t="shared" si="1278"/>
        <v>0</v>
      </c>
      <c r="CF326" s="48">
        <f t="shared" si="1279"/>
        <v>0</v>
      </c>
      <c r="CG326" s="48">
        <f t="shared" si="1280"/>
        <v>19.16</v>
      </c>
      <c r="CH326" s="48">
        <f t="shared" si="1281"/>
        <v>0</v>
      </c>
      <c r="CI326" s="48">
        <f t="shared" si="1282"/>
        <v>0</v>
      </c>
      <c r="CJ326" s="48">
        <f t="shared" si="1283"/>
        <v>0</v>
      </c>
      <c r="CK326" s="48">
        <f t="shared" si="1284"/>
        <v>0</v>
      </c>
      <c r="CL326" s="48">
        <f t="shared" si="1285"/>
        <v>0</v>
      </c>
      <c r="CM326" s="48">
        <f t="shared" si="1286"/>
        <v>19.159999999999997</v>
      </c>
      <c r="CN326" s="48">
        <f t="shared" si="1244"/>
        <v>6.3866666666666667</v>
      </c>
      <c r="CO326" s="48">
        <f t="shared" si="1287"/>
        <v>19.16</v>
      </c>
      <c r="CP326" s="48">
        <f t="shared" si="1288"/>
        <v>21.17</v>
      </c>
      <c r="CQ326" s="48">
        <f t="shared" si="1289"/>
        <v>22.61</v>
      </c>
      <c r="CR326" s="48">
        <f t="shared" si="1290"/>
        <v>24.980000000000004</v>
      </c>
      <c r="CS326" s="48">
        <f t="shared" si="1291"/>
        <v>19.160520560197838</v>
      </c>
      <c r="CT326" s="48">
        <f t="shared" si="1292"/>
        <v>21.169739719901081</v>
      </c>
      <c r="CU326" s="48">
        <f t="shared" si="1245"/>
        <v>20.165130140049463</v>
      </c>
      <c r="CV326" s="48">
        <f t="shared" si="1293"/>
        <v>315.73794582540916</v>
      </c>
      <c r="CW326" s="19" t="e">
        <f t="shared" si="1294"/>
        <v>#REF!</v>
      </c>
      <c r="CX326" s="19" t="e">
        <f t="shared" si="1295"/>
        <v>#REF!</v>
      </c>
      <c r="CY326" s="19">
        <f t="shared" si="1296"/>
        <v>394.33154661016954</v>
      </c>
      <c r="CZ326" s="19">
        <f t="shared" si="1297"/>
        <v>394.32657499999999</v>
      </c>
      <c r="DA326" s="21" t="e">
        <f t="shared" si="1246"/>
        <v>#REF!</v>
      </c>
      <c r="DB326" s="21">
        <f t="shared" si="1247"/>
        <v>100.00126078496474</v>
      </c>
      <c r="DC326" s="79" t="e">
        <f t="shared" si="1298"/>
        <v>#REF!</v>
      </c>
      <c r="DD326" s="79" t="e">
        <f t="shared" si="1298"/>
        <v>#REF!</v>
      </c>
      <c r="DE326" s="79">
        <f t="shared" si="1299"/>
        <v>365.97515999999996</v>
      </c>
      <c r="DF326" s="79">
        <f t="shared" si="1299"/>
        <v>0</v>
      </c>
      <c r="DG326" s="79">
        <f t="shared" si="1249"/>
        <v>404.36817000000002</v>
      </c>
      <c r="DH326" s="51">
        <f t="shared" si="1250"/>
        <v>770.34332999999992</v>
      </c>
      <c r="DI326" s="39"/>
      <c r="DJ326" s="80" t="e">
        <f t="shared" si="1300"/>
        <v>#REF!</v>
      </c>
      <c r="DK326" s="39" t="e">
        <f t="shared" si="1301"/>
        <v>#REF!</v>
      </c>
      <c r="DL326" s="39" t="e">
        <f t="shared" si="1302"/>
        <v>#REF!</v>
      </c>
      <c r="DM326" s="48">
        <f>+AT326-'[2]тарифы (12-13) население 15%'!AP409</f>
        <v>0</v>
      </c>
      <c r="DN326" s="39"/>
      <c r="DO326" s="39"/>
      <c r="DP326" s="39"/>
      <c r="DQ326" s="39"/>
      <c r="DR326" s="39"/>
      <c r="DS326" s="39"/>
      <c r="DT326" s="39"/>
      <c r="DU326" s="19">
        <f t="shared" si="1251"/>
        <v>413.96940677966097</v>
      </c>
      <c r="DV326" s="40">
        <f t="shared" si="1259"/>
        <v>431.20432203389822</v>
      </c>
      <c r="DW326" s="40">
        <f t="shared" si="1260"/>
        <v>431.18774999999994</v>
      </c>
      <c r="DX326" s="21">
        <f>+'[1]тарифы (НВВ) население на 4,2%'!CO424</f>
        <v>100.00126078496474</v>
      </c>
      <c r="DY326" s="21">
        <f t="shared" si="1252"/>
        <v>100.0038433452477</v>
      </c>
      <c r="DZ326" s="19">
        <f t="shared" si="1253"/>
        <v>0.80873634000000005</v>
      </c>
      <c r="EA326" s="19">
        <f t="shared" si="1254"/>
        <v>0.84235409999999999</v>
      </c>
      <c r="EB326" s="19"/>
      <c r="EC326" s="48"/>
      <c r="ED326" s="48"/>
      <c r="EE326" s="22">
        <v>22.05</v>
      </c>
      <c r="EF326" s="22">
        <v>23.39</v>
      </c>
      <c r="EG326" s="22">
        <f t="shared" si="1238"/>
        <v>106.07709750566895</v>
      </c>
      <c r="EH326" s="22">
        <v>26.02</v>
      </c>
      <c r="EI326" s="22">
        <v>27.6</v>
      </c>
      <c r="EJ326" s="22">
        <f t="shared" si="1239"/>
        <v>106.07225211375865</v>
      </c>
      <c r="EK326" s="40" t="s">
        <v>267</v>
      </c>
      <c r="EL326" s="19">
        <v>37.488</v>
      </c>
      <c r="EM326" s="19">
        <v>19.555</v>
      </c>
      <c r="EN326" s="40">
        <f t="shared" si="1219"/>
        <v>457.38813559322045</v>
      </c>
      <c r="EO326" s="40">
        <f t="shared" si="1220"/>
        <v>457.39145000000002</v>
      </c>
      <c r="EP326" s="40"/>
      <c r="EQ326" s="21">
        <f t="shared" si="1210"/>
        <v>99.999275367569822</v>
      </c>
      <c r="ER326" s="21"/>
      <c r="ES326" s="21">
        <f t="shared" si="1263"/>
        <v>826.61040000000003</v>
      </c>
      <c r="ET326" s="21"/>
      <c r="EU326" s="19">
        <f t="shared" si="1222"/>
        <v>876.84432000000004</v>
      </c>
      <c r="EV326" s="21"/>
      <c r="EW326" s="39"/>
      <c r="EX326" s="39">
        <f t="shared" si="1255"/>
        <v>842.35410000000002</v>
      </c>
      <c r="EY326" s="39">
        <f t="shared" si="1303"/>
        <v>893.54477999999995</v>
      </c>
      <c r="EZ326" s="39"/>
      <c r="FA326" s="39"/>
      <c r="FB326" s="39"/>
      <c r="FC326" s="39"/>
      <c r="FD326" s="39"/>
      <c r="FE326" s="39"/>
      <c r="FF326" s="39"/>
      <c r="FG326" s="39"/>
      <c r="FH326" s="39"/>
      <c r="FI326" s="39"/>
      <c r="FJ326" s="19"/>
      <c r="FK326" s="19"/>
      <c r="FL326" s="19">
        <f t="shared" si="1211"/>
        <v>0</v>
      </c>
      <c r="FM326" s="19">
        <v>41.435000000000002</v>
      </c>
      <c r="FN326" s="19">
        <v>2.2999999999999998</v>
      </c>
      <c r="FO326" s="22">
        <v>35.39</v>
      </c>
      <c r="FP326" s="22">
        <v>36.42</v>
      </c>
      <c r="FQ326" s="22"/>
      <c r="FR326" s="22">
        <v>42.47</v>
      </c>
      <c r="FS326" s="22">
        <v>43.7</v>
      </c>
      <c r="FT326" s="22"/>
      <c r="FU326" s="40" t="s">
        <v>699</v>
      </c>
      <c r="FV326" s="19"/>
      <c r="FW326" s="19"/>
      <c r="FX326" s="19"/>
      <c r="FY326" s="19"/>
      <c r="FZ326" s="19"/>
      <c r="GA326" s="19"/>
      <c r="GB326" s="19"/>
      <c r="GC326" s="20"/>
      <c r="GD326" s="20"/>
      <c r="GE326" s="21"/>
      <c r="GF326" s="21"/>
      <c r="GG326" s="21"/>
      <c r="GH326" s="21"/>
      <c r="GI326" s="21"/>
      <c r="GJ326" s="21"/>
      <c r="GK326" s="21"/>
      <c r="GL326" s="21"/>
      <c r="GM326" s="19"/>
      <c r="GN326" s="19"/>
      <c r="GO326" s="22">
        <v>36.42</v>
      </c>
      <c r="GP326" s="22">
        <v>37.35</v>
      </c>
      <c r="GQ326" s="22"/>
      <c r="GR326" s="22">
        <v>43.7</v>
      </c>
      <c r="GS326" s="22">
        <v>44.82</v>
      </c>
      <c r="GT326" s="22"/>
      <c r="GU326" s="40" t="s">
        <v>699</v>
      </c>
      <c r="GV326" s="19"/>
      <c r="GW326" s="19"/>
      <c r="GX326" s="19"/>
      <c r="GY326" s="19"/>
      <c r="GZ326" s="23"/>
      <c r="HA326" s="22">
        <v>37.35</v>
      </c>
      <c r="HB326" s="22">
        <v>38.36</v>
      </c>
      <c r="HC326" s="22"/>
      <c r="HD326" s="22">
        <v>44.82</v>
      </c>
      <c r="HE326" s="22">
        <v>46.03</v>
      </c>
      <c r="HF326" s="22"/>
      <c r="HG326" s="236" t="s">
        <v>699</v>
      </c>
    </row>
    <row r="327" spans="2:215" ht="15" customHeight="1">
      <c r="B327" s="10" t="s">
        <v>459</v>
      </c>
      <c r="C327" s="81" t="s">
        <v>460</v>
      </c>
      <c r="D327" s="73"/>
      <c r="E327" s="73"/>
      <c r="F327" s="73"/>
      <c r="G327" s="73"/>
      <c r="H327" s="73"/>
      <c r="I327" s="73"/>
      <c r="J327" s="73"/>
      <c r="K327" s="73"/>
      <c r="L327" s="73"/>
      <c r="M327" s="143"/>
      <c r="N327" s="73"/>
      <c r="O327" s="73"/>
      <c r="P327" s="73"/>
      <c r="Q327" s="73"/>
      <c r="R327" s="73"/>
      <c r="S327" s="73"/>
      <c r="T327" s="73"/>
      <c r="U327" s="73"/>
      <c r="V327" s="52"/>
      <c r="W327" s="52"/>
      <c r="X327" s="52"/>
      <c r="Y327" s="52"/>
      <c r="Z327" s="22"/>
      <c r="AA327" s="52"/>
      <c r="AB327" s="22"/>
      <c r="AC327" s="22"/>
      <c r="AD327" s="22"/>
      <c r="AE327" s="22"/>
      <c r="AF327" s="22"/>
      <c r="AG327" s="22"/>
      <c r="AH327" s="22"/>
      <c r="AI327" s="22"/>
      <c r="AJ327" s="52"/>
      <c r="AK327" s="22"/>
      <c r="AL327" s="22"/>
      <c r="AM327" s="22"/>
      <c r="AN327" s="22"/>
      <c r="AO327" s="22"/>
      <c r="AP327" s="22"/>
      <c r="AQ327" s="22"/>
      <c r="AR327" s="22"/>
      <c r="AS327" s="22"/>
      <c r="AT327" s="22"/>
      <c r="AU327" s="22"/>
      <c r="AV327" s="77"/>
      <c r="AW327" s="77"/>
      <c r="AX327" s="78"/>
      <c r="AY327" s="22"/>
      <c r="AZ327" s="22"/>
      <c r="BA327" s="22"/>
      <c r="BB327" s="22"/>
      <c r="BC327" s="22"/>
      <c r="BD327" s="22"/>
      <c r="BE327" s="22"/>
      <c r="BF327" s="22"/>
      <c r="BG327" s="22"/>
      <c r="BH327" s="22"/>
      <c r="BI327" s="22"/>
      <c r="BJ327" s="40"/>
      <c r="BK327" s="19"/>
      <c r="BL327" s="19"/>
      <c r="BM327" s="19"/>
      <c r="BN327" s="19"/>
      <c r="BO327" s="19"/>
      <c r="BP327" s="19"/>
      <c r="BQ327" s="19"/>
      <c r="BR327" s="19"/>
      <c r="BS327" s="19"/>
      <c r="BT327" s="19"/>
      <c r="BU327" s="19"/>
      <c r="BV327" s="19"/>
      <c r="BW327" s="19"/>
      <c r="BX327" s="19"/>
      <c r="BY327" s="19"/>
      <c r="BZ327" s="19"/>
      <c r="CA327" s="19"/>
      <c r="CB327" s="19"/>
      <c r="CC327" s="19"/>
      <c r="CD327" s="19"/>
      <c r="CE327" s="48"/>
      <c r="CF327" s="48"/>
      <c r="CG327" s="48"/>
      <c r="CH327" s="48"/>
      <c r="CI327" s="48"/>
      <c r="CJ327" s="48"/>
      <c r="CK327" s="48"/>
      <c r="CL327" s="48"/>
      <c r="CM327" s="48"/>
      <c r="CN327" s="48"/>
      <c r="CO327" s="48"/>
      <c r="CP327" s="48"/>
      <c r="CQ327" s="48"/>
      <c r="CR327" s="48"/>
      <c r="CS327" s="48"/>
      <c r="CT327" s="48"/>
      <c r="CU327" s="48"/>
      <c r="CV327" s="48"/>
      <c r="CW327" s="19"/>
      <c r="CX327" s="19"/>
      <c r="CY327" s="19"/>
      <c r="CZ327" s="19"/>
      <c r="DA327" s="21"/>
      <c r="DB327" s="21"/>
      <c r="DC327" s="79"/>
      <c r="DD327" s="79"/>
      <c r="DE327" s="79"/>
      <c r="DF327" s="79"/>
      <c r="DG327" s="79"/>
      <c r="DH327" s="51"/>
      <c r="DI327" s="39"/>
      <c r="DJ327" s="80"/>
      <c r="DK327" s="39"/>
      <c r="DL327" s="39"/>
      <c r="DM327" s="48"/>
      <c r="DN327" s="39"/>
      <c r="DO327" s="39"/>
      <c r="DP327" s="39"/>
      <c r="DQ327" s="39"/>
      <c r="DR327" s="39"/>
      <c r="DS327" s="39"/>
      <c r="DT327" s="39"/>
      <c r="DU327" s="19"/>
      <c r="DV327" s="40"/>
      <c r="DW327" s="40"/>
      <c r="DX327" s="46"/>
      <c r="DY327" s="21"/>
      <c r="DZ327" s="19"/>
      <c r="EA327" s="19"/>
      <c r="EB327" s="19"/>
      <c r="EC327" s="48"/>
      <c r="ED327" s="48"/>
      <c r="EE327" s="22"/>
      <c r="EF327" s="22"/>
      <c r="EG327" s="22"/>
      <c r="EH327" s="22"/>
      <c r="EI327" s="22"/>
      <c r="EJ327" s="22"/>
      <c r="EK327" s="40"/>
      <c r="EL327" s="19"/>
      <c r="EM327" s="19"/>
      <c r="EN327" s="40"/>
      <c r="EO327" s="40"/>
      <c r="EP327" s="40"/>
      <c r="EQ327" s="21"/>
      <c r="ER327" s="21"/>
      <c r="ES327" s="21"/>
      <c r="ET327" s="21"/>
      <c r="EU327" s="19"/>
      <c r="EV327" s="21"/>
      <c r="EW327" s="39"/>
      <c r="EX327" s="39"/>
      <c r="EY327" s="39"/>
      <c r="EZ327" s="39"/>
      <c r="FA327" s="39"/>
      <c r="FB327" s="39"/>
      <c r="FC327" s="39"/>
      <c r="FD327" s="39"/>
      <c r="FE327" s="39"/>
      <c r="FF327" s="39"/>
      <c r="FG327" s="39"/>
      <c r="FH327" s="39"/>
      <c r="FI327" s="39"/>
      <c r="FJ327" s="19"/>
      <c r="FK327" s="19"/>
      <c r="FL327" s="19"/>
      <c r="FM327" s="19"/>
      <c r="FN327" s="19"/>
      <c r="FO327" s="22"/>
      <c r="FP327" s="22"/>
      <c r="FQ327" s="22"/>
      <c r="FR327" s="22"/>
      <c r="FS327" s="22"/>
      <c r="FT327" s="22"/>
      <c r="FU327" s="40"/>
      <c r="FV327" s="19"/>
      <c r="FW327" s="19"/>
      <c r="FX327" s="19"/>
      <c r="FY327" s="19"/>
      <c r="FZ327" s="19"/>
      <c r="GA327" s="19"/>
      <c r="GB327" s="19"/>
      <c r="GC327" s="20"/>
      <c r="GD327" s="20"/>
      <c r="GE327" s="21"/>
      <c r="GF327" s="21"/>
      <c r="GG327" s="21"/>
      <c r="GH327" s="21"/>
      <c r="GI327" s="21"/>
      <c r="GJ327" s="21"/>
      <c r="GK327" s="21"/>
      <c r="GL327" s="21"/>
      <c r="GM327" s="19"/>
      <c r="GN327" s="19"/>
      <c r="GO327" s="22"/>
      <c r="GP327" s="22"/>
      <c r="GQ327" s="22"/>
      <c r="GR327" s="22"/>
      <c r="GS327" s="22"/>
      <c r="GT327" s="22"/>
      <c r="GU327" s="43"/>
      <c r="GV327" s="19"/>
      <c r="GW327" s="19"/>
      <c r="GX327" s="19"/>
      <c r="GY327" s="19"/>
      <c r="GZ327" s="23"/>
      <c r="HA327" s="22"/>
      <c r="HB327" s="22"/>
      <c r="HC327" s="22"/>
      <c r="HD327" s="22"/>
      <c r="HE327" s="22"/>
      <c r="HF327" s="22"/>
      <c r="HG327" s="233"/>
    </row>
    <row r="328" spans="2:215" ht="15" customHeight="1">
      <c r="B328" s="10"/>
      <c r="C328" s="161" t="s">
        <v>204</v>
      </c>
      <c r="D328" s="73"/>
      <c r="E328" s="73"/>
      <c r="F328" s="73"/>
      <c r="G328" s="73"/>
      <c r="H328" s="73"/>
      <c r="I328" s="73"/>
      <c r="J328" s="73"/>
      <c r="K328" s="73"/>
      <c r="L328" s="73"/>
      <c r="M328" s="143"/>
      <c r="N328" s="73"/>
      <c r="O328" s="73"/>
      <c r="P328" s="73"/>
      <c r="Q328" s="73"/>
      <c r="R328" s="73"/>
      <c r="S328" s="73"/>
      <c r="T328" s="73"/>
      <c r="U328" s="73"/>
      <c r="V328" s="52"/>
      <c r="W328" s="52"/>
      <c r="X328" s="52"/>
      <c r="Y328" s="52"/>
      <c r="Z328" s="22"/>
      <c r="AA328" s="52"/>
      <c r="AB328" s="22"/>
      <c r="AC328" s="22"/>
      <c r="AD328" s="22"/>
      <c r="AE328" s="22"/>
      <c r="AF328" s="22"/>
      <c r="AG328" s="22"/>
      <c r="AH328" s="22"/>
      <c r="AI328" s="22"/>
      <c r="AJ328" s="52"/>
      <c r="AK328" s="22"/>
      <c r="AL328" s="22"/>
      <c r="AM328" s="22"/>
      <c r="AN328" s="22"/>
      <c r="AO328" s="22"/>
      <c r="AP328" s="22"/>
      <c r="AQ328" s="22"/>
      <c r="AR328" s="22"/>
      <c r="AS328" s="22"/>
      <c r="AT328" s="22"/>
      <c r="AU328" s="22"/>
      <c r="AV328" s="77"/>
      <c r="AW328" s="77"/>
      <c r="AX328" s="78"/>
      <c r="AY328" s="22"/>
      <c r="AZ328" s="22"/>
      <c r="BA328" s="22"/>
      <c r="BB328" s="22"/>
      <c r="BC328" s="22"/>
      <c r="BD328" s="22"/>
      <c r="BE328" s="22"/>
      <c r="BF328" s="22"/>
      <c r="BG328" s="22"/>
      <c r="BH328" s="22"/>
      <c r="BI328" s="22"/>
      <c r="BJ328" s="40"/>
      <c r="BK328" s="19"/>
      <c r="BL328" s="19"/>
      <c r="BM328" s="19"/>
      <c r="BN328" s="19"/>
      <c r="BO328" s="19"/>
      <c r="BP328" s="19"/>
      <c r="BQ328" s="19"/>
      <c r="BR328" s="19"/>
      <c r="BS328" s="19"/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48"/>
      <c r="CF328" s="48"/>
      <c r="CG328" s="48"/>
      <c r="CH328" s="48"/>
      <c r="CI328" s="48"/>
      <c r="CJ328" s="48"/>
      <c r="CK328" s="48"/>
      <c r="CL328" s="48"/>
      <c r="CM328" s="48"/>
      <c r="CN328" s="48"/>
      <c r="CO328" s="48"/>
      <c r="CP328" s="48"/>
      <c r="CQ328" s="48"/>
      <c r="CR328" s="48"/>
      <c r="CS328" s="48"/>
      <c r="CT328" s="48"/>
      <c r="CU328" s="48"/>
      <c r="CV328" s="48"/>
      <c r="CW328" s="19"/>
      <c r="CX328" s="19"/>
      <c r="CY328" s="19"/>
      <c r="CZ328" s="19"/>
      <c r="DA328" s="21"/>
      <c r="DB328" s="21"/>
      <c r="DC328" s="79"/>
      <c r="DD328" s="79"/>
      <c r="DE328" s="79"/>
      <c r="DF328" s="79"/>
      <c r="DG328" s="79"/>
      <c r="DH328" s="51"/>
      <c r="DI328" s="39"/>
      <c r="DJ328" s="80"/>
      <c r="DK328" s="39"/>
      <c r="DL328" s="39"/>
      <c r="DM328" s="48"/>
      <c r="DN328" s="39"/>
      <c r="DO328" s="39"/>
      <c r="DP328" s="39"/>
      <c r="DQ328" s="39"/>
      <c r="DR328" s="39"/>
      <c r="DS328" s="39"/>
      <c r="DT328" s="39"/>
      <c r="DU328" s="19"/>
      <c r="DV328" s="40"/>
      <c r="DW328" s="40"/>
      <c r="DX328" s="46"/>
      <c r="DY328" s="21"/>
      <c r="DZ328" s="19"/>
      <c r="EA328" s="19"/>
      <c r="EB328" s="19"/>
      <c r="EC328" s="48"/>
      <c r="ED328" s="48"/>
      <c r="EE328" s="22"/>
      <c r="EF328" s="22"/>
      <c r="EG328" s="22"/>
      <c r="EH328" s="22"/>
      <c r="EI328" s="22"/>
      <c r="EJ328" s="22"/>
      <c r="EK328" s="40"/>
      <c r="EL328" s="19"/>
      <c r="EM328" s="19"/>
      <c r="EN328" s="40"/>
      <c r="EO328" s="40"/>
      <c r="EP328" s="40"/>
      <c r="EQ328" s="21"/>
      <c r="ER328" s="21"/>
      <c r="ES328" s="21"/>
      <c r="ET328" s="21"/>
      <c r="EU328" s="19"/>
      <c r="EV328" s="21"/>
      <c r="EW328" s="39"/>
      <c r="EX328" s="39"/>
      <c r="EY328" s="39"/>
      <c r="EZ328" s="39"/>
      <c r="FA328" s="39"/>
      <c r="FB328" s="39"/>
      <c r="FC328" s="39"/>
      <c r="FD328" s="39"/>
      <c r="FE328" s="39"/>
      <c r="FF328" s="39"/>
      <c r="FG328" s="39"/>
      <c r="FH328" s="39"/>
      <c r="FI328" s="39"/>
      <c r="FJ328" s="19"/>
      <c r="FK328" s="19"/>
      <c r="FL328" s="19"/>
      <c r="FM328" s="19"/>
      <c r="FN328" s="19"/>
      <c r="FO328" s="22">
        <v>1809.87</v>
      </c>
      <c r="FP328" s="22">
        <v>1968.64</v>
      </c>
      <c r="FQ328" s="22"/>
      <c r="FR328" s="22">
        <v>2171.84</v>
      </c>
      <c r="FS328" s="22">
        <v>2362.37</v>
      </c>
      <c r="FT328" s="22"/>
      <c r="FU328" s="40" t="s">
        <v>700</v>
      </c>
      <c r="FV328" s="19"/>
      <c r="FW328" s="19"/>
      <c r="FX328" s="19"/>
      <c r="FY328" s="19"/>
      <c r="FZ328" s="19"/>
      <c r="GA328" s="19"/>
      <c r="GB328" s="19"/>
      <c r="GC328" s="20"/>
      <c r="GD328" s="20"/>
      <c r="GE328" s="21"/>
      <c r="GF328" s="21"/>
      <c r="GG328" s="21"/>
      <c r="GH328" s="21"/>
      <c r="GI328" s="21"/>
      <c r="GJ328" s="21"/>
      <c r="GK328" s="21"/>
      <c r="GL328" s="21"/>
      <c r="GM328" s="19"/>
      <c r="GN328" s="19"/>
      <c r="GO328" s="22" t="s">
        <v>633</v>
      </c>
      <c r="GP328" s="22" t="s">
        <v>633</v>
      </c>
      <c r="GQ328" s="22"/>
      <c r="GR328" s="22" t="s">
        <v>633</v>
      </c>
      <c r="GS328" s="22" t="s">
        <v>633</v>
      </c>
      <c r="GT328" s="22"/>
      <c r="GU328" s="43" t="s">
        <v>633</v>
      </c>
      <c r="GV328" s="19"/>
      <c r="GW328" s="19"/>
      <c r="GX328" s="19"/>
      <c r="GY328" s="19"/>
      <c r="GZ328" s="23"/>
      <c r="HA328" s="22" t="s">
        <v>633</v>
      </c>
      <c r="HB328" s="22" t="s">
        <v>633</v>
      </c>
      <c r="HC328" s="22"/>
      <c r="HD328" s="22" t="s">
        <v>633</v>
      </c>
      <c r="HE328" s="22" t="s">
        <v>633</v>
      </c>
      <c r="HF328" s="22"/>
      <c r="HG328" s="233" t="s">
        <v>633</v>
      </c>
    </row>
    <row r="329" spans="2:215" ht="15.6" customHeight="1">
      <c r="B329" s="11" t="s">
        <v>461</v>
      </c>
      <c r="C329" s="81" t="s">
        <v>607</v>
      </c>
      <c r="D329" s="144"/>
      <c r="E329" s="144"/>
      <c r="F329" s="74"/>
      <c r="G329" s="74"/>
      <c r="H329" s="74"/>
      <c r="I329" s="144"/>
      <c r="J329" s="74"/>
      <c r="K329" s="74"/>
      <c r="L329" s="74"/>
      <c r="M329" s="144"/>
      <c r="N329" s="144"/>
      <c r="O329" s="74"/>
      <c r="P329" s="74"/>
      <c r="Q329" s="74"/>
      <c r="R329" s="144"/>
      <c r="S329" s="74"/>
      <c r="T329" s="74"/>
      <c r="U329" s="74"/>
      <c r="V329" s="130"/>
      <c r="W329" s="130"/>
      <c r="X329" s="22"/>
      <c r="Y329" s="130"/>
      <c r="Z329" s="22"/>
      <c r="AA329" s="130"/>
      <c r="AB329" s="22"/>
      <c r="AC329" s="130"/>
      <c r="AD329" s="130"/>
      <c r="AE329" s="22"/>
      <c r="AF329" s="22"/>
      <c r="AG329" s="22"/>
      <c r="AH329" s="52"/>
      <c r="AI329" s="52"/>
      <c r="AJ329" s="22"/>
      <c r="AK329" s="52"/>
      <c r="AL329" s="22"/>
      <c r="AM329" s="52"/>
      <c r="AN329" s="22"/>
      <c r="AO329" s="22"/>
      <c r="AP329" s="22"/>
      <c r="AQ329" s="22"/>
      <c r="AR329" s="22"/>
      <c r="AS329" s="22"/>
      <c r="AT329" s="22"/>
      <c r="AU329" s="22"/>
      <c r="AV329" s="77"/>
      <c r="AW329" s="77"/>
      <c r="AX329" s="78"/>
      <c r="AY329" s="22"/>
      <c r="AZ329" s="22"/>
      <c r="BA329" s="22"/>
      <c r="BB329" s="22"/>
      <c r="BC329" s="22"/>
      <c r="BD329" s="22"/>
      <c r="BE329" s="22"/>
      <c r="BF329" s="22"/>
      <c r="BG329" s="22"/>
      <c r="BH329" s="22"/>
      <c r="BI329" s="22"/>
      <c r="BJ329" s="40"/>
      <c r="BK329" s="19"/>
      <c r="BL329" s="19"/>
      <c r="BM329" s="19"/>
      <c r="BN329" s="19"/>
      <c r="BO329" s="19"/>
      <c r="BP329" s="19"/>
      <c r="BQ329" s="19"/>
      <c r="BR329" s="19"/>
      <c r="BS329" s="19"/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48"/>
      <c r="CF329" s="48"/>
      <c r="CG329" s="48"/>
      <c r="CH329" s="48"/>
      <c r="CI329" s="48"/>
      <c r="CJ329" s="48"/>
      <c r="CK329" s="48"/>
      <c r="CL329" s="48"/>
      <c r="CM329" s="48"/>
      <c r="CN329" s="48"/>
      <c r="CO329" s="48"/>
      <c r="CP329" s="48"/>
      <c r="CQ329" s="48"/>
      <c r="CR329" s="48"/>
      <c r="CS329" s="48"/>
      <c r="CT329" s="48"/>
      <c r="CU329" s="48"/>
      <c r="CV329" s="48"/>
      <c r="CW329" s="19"/>
      <c r="CX329" s="19"/>
      <c r="CY329" s="19"/>
      <c r="CZ329" s="19"/>
      <c r="DA329" s="21"/>
      <c r="DB329" s="21"/>
      <c r="DC329" s="79"/>
      <c r="DD329" s="79"/>
      <c r="DE329" s="79"/>
      <c r="DF329" s="79"/>
      <c r="DG329" s="79"/>
      <c r="DH329" s="51"/>
      <c r="DI329" s="39"/>
      <c r="DJ329" s="80"/>
      <c r="DK329" s="39"/>
      <c r="DL329" s="39"/>
      <c r="DM329" s="48"/>
      <c r="DN329" s="39"/>
      <c r="DO329" s="39"/>
      <c r="DP329" s="39"/>
      <c r="DQ329" s="39"/>
      <c r="DR329" s="39"/>
      <c r="DS329" s="39"/>
      <c r="DT329" s="39"/>
      <c r="DU329" s="19"/>
      <c r="DV329" s="40"/>
      <c r="DW329" s="40"/>
      <c r="DX329" s="46"/>
      <c r="DY329" s="21"/>
      <c r="DZ329" s="19"/>
      <c r="EA329" s="19"/>
      <c r="EB329" s="19"/>
      <c r="EC329" s="48"/>
      <c r="ED329" s="48"/>
      <c r="EE329" s="22"/>
      <c r="EF329" s="22"/>
      <c r="EG329" s="22"/>
      <c r="EH329" s="22"/>
      <c r="EI329" s="22"/>
      <c r="EJ329" s="22"/>
      <c r="EK329" s="40"/>
      <c r="EL329" s="19"/>
      <c r="EM329" s="19"/>
      <c r="EN329" s="40"/>
      <c r="EO329" s="40"/>
      <c r="EP329" s="40"/>
      <c r="EQ329" s="21"/>
      <c r="ER329" s="21"/>
      <c r="ES329" s="21"/>
      <c r="ET329" s="21"/>
      <c r="EU329" s="19"/>
      <c r="EV329" s="21"/>
      <c r="EW329" s="39"/>
      <c r="EX329" s="39"/>
      <c r="EY329" s="39"/>
      <c r="EZ329" s="39"/>
      <c r="FA329" s="39"/>
      <c r="FB329" s="39"/>
      <c r="FC329" s="39"/>
      <c r="FD329" s="39"/>
      <c r="FE329" s="39"/>
      <c r="FF329" s="39"/>
      <c r="FG329" s="39"/>
      <c r="FH329" s="39"/>
      <c r="FI329" s="39"/>
      <c r="FJ329" s="19"/>
      <c r="FK329" s="19"/>
      <c r="FL329" s="19"/>
      <c r="FM329" s="19"/>
      <c r="FN329" s="19"/>
      <c r="FO329" s="22"/>
      <c r="FP329" s="39"/>
      <c r="FQ329" s="22"/>
      <c r="FR329" s="22"/>
      <c r="FS329" s="22"/>
      <c r="FT329" s="22"/>
      <c r="FU329" s="40"/>
      <c r="FV329" s="19"/>
      <c r="FW329" s="19"/>
      <c r="FX329" s="19"/>
      <c r="FY329" s="19"/>
      <c r="FZ329" s="19"/>
      <c r="GA329" s="19"/>
      <c r="GB329" s="19"/>
      <c r="GC329" s="20"/>
      <c r="GD329" s="20"/>
      <c r="GE329" s="21"/>
      <c r="GF329" s="21"/>
      <c r="GG329" s="21"/>
      <c r="GH329" s="21"/>
      <c r="GI329" s="21"/>
      <c r="GJ329" s="21"/>
      <c r="GK329" s="21"/>
      <c r="GL329" s="21"/>
      <c r="GM329" s="19"/>
      <c r="GN329" s="19"/>
      <c r="GO329" s="22"/>
      <c r="GP329" s="22"/>
      <c r="GQ329" s="22"/>
      <c r="GR329" s="22"/>
      <c r="GS329" s="22"/>
      <c r="GT329" s="22"/>
      <c r="GU329" s="43"/>
      <c r="GV329" s="19"/>
      <c r="GW329" s="19"/>
      <c r="GX329" s="19"/>
      <c r="GY329" s="19"/>
      <c r="GZ329" s="23"/>
      <c r="HA329" s="22"/>
      <c r="HB329" s="22"/>
      <c r="HC329" s="22"/>
      <c r="HD329" s="22"/>
      <c r="HE329" s="22"/>
      <c r="HF329" s="22"/>
      <c r="HG329" s="233"/>
    </row>
    <row r="330" spans="2:215" ht="15.6" customHeight="1">
      <c r="B330" s="11"/>
      <c r="C330" s="161" t="s">
        <v>153</v>
      </c>
      <c r="D330" s="144"/>
      <c r="E330" s="144"/>
      <c r="F330" s="74"/>
      <c r="G330" s="74"/>
      <c r="H330" s="74"/>
      <c r="I330" s="144"/>
      <c r="J330" s="74"/>
      <c r="K330" s="74"/>
      <c r="L330" s="74"/>
      <c r="M330" s="144"/>
      <c r="N330" s="144"/>
      <c r="O330" s="74"/>
      <c r="P330" s="74"/>
      <c r="Q330" s="74"/>
      <c r="R330" s="144"/>
      <c r="S330" s="74"/>
      <c r="T330" s="74"/>
      <c r="U330" s="74"/>
      <c r="V330" s="130"/>
      <c r="W330" s="130"/>
      <c r="X330" s="22"/>
      <c r="Y330" s="130"/>
      <c r="Z330" s="22"/>
      <c r="AA330" s="130"/>
      <c r="AB330" s="22"/>
      <c r="AC330" s="130"/>
      <c r="AD330" s="130"/>
      <c r="AE330" s="22"/>
      <c r="AF330" s="22"/>
      <c r="AG330" s="22"/>
      <c r="AH330" s="52"/>
      <c r="AI330" s="52"/>
      <c r="AJ330" s="22"/>
      <c r="AK330" s="52"/>
      <c r="AL330" s="22"/>
      <c r="AM330" s="52"/>
      <c r="AN330" s="22"/>
      <c r="AO330" s="22"/>
      <c r="AP330" s="22"/>
      <c r="AQ330" s="22"/>
      <c r="AR330" s="22"/>
      <c r="AS330" s="22"/>
      <c r="AT330" s="22"/>
      <c r="AU330" s="22"/>
      <c r="AV330" s="77"/>
      <c r="AW330" s="77"/>
      <c r="AX330" s="78"/>
      <c r="AY330" s="22"/>
      <c r="AZ330" s="22"/>
      <c r="BA330" s="22"/>
      <c r="BB330" s="22"/>
      <c r="BC330" s="22"/>
      <c r="BD330" s="22"/>
      <c r="BE330" s="22"/>
      <c r="BF330" s="22"/>
      <c r="BG330" s="22"/>
      <c r="BH330" s="22"/>
      <c r="BI330" s="22"/>
      <c r="BJ330" s="40"/>
      <c r="BK330" s="19"/>
      <c r="BL330" s="19"/>
      <c r="BM330" s="19"/>
      <c r="BN330" s="19"/>
      <c r="BO330" s="19"/>
      <c r="BP330" s="19"/>
      <c r="BQ330" s="19"/>
      <c r="BR330" s="19"/>
      <c r="BS330" s="19"/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48"/>
      <c r="CF330" s="48"/>
      <c r="CG330" s="48"/>
      <c r="CH330" s="48"/>
      <c r="CI330" s="48"/>
      <c r="CJ330" s="48"/>
      <c r="CK330" s="48"/>
      <c r="CL330" s="48"/>
      <c r="CM330" s="48"/>
      <c r="CN330" s="48"/>
      <c r="CO330" s="48"/>
      <c r="CP330" s="48"/>
      <c r="CQ330" s="48"/>
      <c r="CR330" s="48"/>
      <c r="CS330" s="48"/>
      <c r="CT330" s="48"/>
      <c r="CU330" s="48"/>
      <c r="CV330" s="48"/>
      <c r="CW330" s="19"/>
      <c r="CX330" s="19"/>
      <c r="CY330" s="19"/>
      <c r="CZ330" s="19"/>
      <c r="DA330" s="21"/>
      <c r="DB330" s="21"/>
      <c r="DC330" s="79"/>
      <c r="DD330" s="79"/>
      <c r="DE330" s="79"/>
      <c r="DF330" s="79"/>
      <c r="DG330" s="79"/>
      <c r="DH330" s="51"/>
      <c r="DI330" s="39"/>
      <c r="DJ330" s="80"/>
      <c r="DK330" s="39"/>
      <c r="DL330" s="39"/>
      <c r="DM330" s="48"/>
      <c r="DN330" s="39"/>
      <c r="DO330" s="39"/>
      <c r="DP330" s="39"/>
      <c r="DQ330" s="39"/>
      <c r="DR330" s="39"/>
      <c r="DS330" s="39"/>
      <c r="DT330" s="39"/>
      <c r="DU330" s="19"/>
      <c r="DV330" s="40"/>
      <c r="DW330" s="40"/>
      <c r="DX330" s="46"/>
      <c r="DY330" s="21"/>
      <c r="DZ330" s="19"/>
      <c r="EA330" s="19"/>
      <c r="EB330" s="19"/>
      <c r="EC330" s="48"/>
      <c r="ED330" s="48"/>
      <c r="EE330" s="22"/>
      <c r="EF330" s="22"/>
      <c r="EG330" s="22"/>
      <c r="EH330" s="22"/>
      <c r="EI330" s="22"/>
      <c r="EJ330" s="22"/>
      <c r="EK330" s="40"/>
      <c r="EL330" s="19"/>
      <c r="EM330" s="19"/>
      <c r="EN330" s="40"/>
      <c r="EO330" s="40"/>
      <c r="EP330" s="40"/>
      <c r="EQ330" s="21"/>
      <c r="ER330" s="21"/>
      <c r="ES330" s="21"/>
      <c r="ET330" s="21"/>
      <c r="EU330" s="19"/>
      <c r="EV330" s="21"/>
      <c r="EW330" s="39"/>
      <c r="EX330" s="39"/>
      <c r="EY330" s="39"/>
      <c r="EZ330" s="39"/>
      <c r="FA330" s="39"/>
      <c r="FB330" s="39"/>
      <c r="FC330" s="39"/>
      <c r="FD330" s="39"/>
      <c r="FE330" s="39"/>
      <c r="FF330" s="39"/>
      <c r="FG330" s="39"/>
      <c r="FH330" s="39"/>
      <c r="FI330" s="39"/>
      <c r="FJ330" s="19"/>
      <c r="FK330" s="19"/>
      <c r="FL330" s="19"/>
      <c r="FM330" s="19"/>
      <c r="FN330" s="19"/>
      <c r="FO330" s="22">
        <v>9959.61</v>
      </c>
      <c r="FP330" s="52">
        <v>10382.51</v>
      </c>
      <c r="FQ330" s="22"/>
      <c r="FR330" s="22" t="s">
        <v>633</v>
      </c>
      <c r="FS330" s="22" t="s">
        <v>633</v>
      </c>
      <c r="FT330" s="22"/>
      <c r="FU330" s="40" t="s">
        <v>657</v>
      </c>
      <c r="FV330" s="19"/>
      <c r="FW330" s="19"/>
      <c r="FX330" s="19"/>
      <c r="FY330" s="19"/>
      <c r="FZ330" s="19"/>
      <c r="GA330" s="19"/>
      <c r="GB330" s="19"/>
      <c r="GC330" s="20"/>
      <c r="GD330" s="20"/>
      <c r="GE330" s="19"/>
      <c r="GF330" s="21"/>
      <c r="GG330" s="19"/>
      <c r="GH330" s="19"/>
      <c r="GI330" s="19"/>
      <c r="GJ330" s="21"/>
      <c r="GK330" s="19"/>
      <c r="GL330" s="19"/>
      <c r="GM330" s="19"/>
      <c r="GN330" s="19"/>
      <c r="GO330" s="22">
        <v>10382.51</v>
      </c>
      <c r="GP330" s="22">
        <v>10697.6</v>
      </c>
      <c r="GQ330" s="22"/>
      <c r="GR330" s="22" t="s">
        <v>633</v>
      </c>
      <c r="GS330" s="22" t="s">
        <v>633</v>
      </c>
      <c r="GT330" s="22"/>
      <c r="GU330" s="40" t="s">
        <v>657</v>
      </c>
      <c r="GV330" s="19"/>
      <c r="GW330" s="19"/>
      <c r="GX330" s="19"/>
      <c r="GY330" s="19"/>
      <c r="GZ330" s="23"/>
      <c r="HA330" s="22">
        <v>10697.6</v>
      </c>
      <c r="HB330" s="22">
        <v>11037.88</v>
      </c>
      <c r="HC330" s="22"/>
      <c r="HD330" s="52" t="s">
        <v>633</v>
      </c>
      <c r="HE330" s="22" t="s">
        <v>633</v>
      </c>
      <c r="HF330" s="22"/>
      <c r="HG330" s="236" t="s">
        <v>657</v>
      </c>
    </row>
    <row r="331" spans="2:215" ht="15.75">
      <c r="B331" s="10"/>
      <c r="C331" s="184" t="s">
        <v>300</v>
      </c>
      <c r="D331" s="73"/>
      <c r="E331" s="73"/>
      <c r="F331" s="74"/>
      <c r="G331" s="74"/>
      <c r="H331" s="74"/>
      <c r="I331" s="73"/>
      <c r="J331" s="74"/>
      <c r="K331" s="74"/>
      <c r="L331" s="74"/>
      <c r="M331" s="143"/>
      <c r="N331" s="73"/>
      <c r="O331" s="74"/>
      <c r="P331" s="74"/>
      <c r="Q331" s="74"/>
      <c r="R331" s="73"/>
      <c r="S331" s="74"/>
      <c r="T331" s="74"/>
      <c r="U331" s="74"/>
      <c r="V331" s="52"/>
      <c r="W331" s="52"/>
      <c r="X331" s="52"/>
      <c r="Y331" s="52"/>
      <c r="Z331" s="22"/>
      <c r="AA331" s="52"/>
      <c r="AB331" s="22"/>
      <c r="AC331" s="52"/>
      <c r="AD331" s="52"/>
      <c r="AE331" s="22"/>
      <c r="AF331" s="22"/>
      <c r="AG331" s="22"/>
      <c r="AH331" s="22"/>
      <c r="AI331" s="22"/>
      <c r="AJ331" s="52"/>
      <c r="AK331" s="22"/>
      <c r="AL331" s="22"/>
      <c r="AM331" s="22"/>
      <c r="AN331" s="22"/>
      <c r="AO331" s="22"/>
      <c r="AP331" s="22"/>
      <c r="AQ331" s="22"/>
      <c r="AR331" s="22"/>
      <c r="AS331" s="22"/>
      <c r="AT331" s="22"/>
      <c r="AU331" s="22"/>
      <c r="AV331" s="77"/>
      <c r="AW331" s="77"/>
      <c r="AX331" s="78"/>
      <c r="AY331" s="22"/>
      <c r="AZ331" s="22"/>
      <c r="BA331" s="22"/>
      <c r="BB331" s="22"/>
      <c r="BC331" s="22"/>
      <c r="BD331" s="22"/>
      <c r="BE331" s="22"/>
      <c r="BF331" s="22"/>
      <c r="BG331" s="22"/>
      <c r="BH331" s="22"/>
      <c r="BI331" s="22"/>
      <c r="BJ331" s="40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48"/>
      <c r="CF331" s="48"/>
      <c r="CG331" s="48"/>
      <c r="CH331" s="48"/>
      <c r="CI331" s="48"/>
      <c r="CJ331" s="48"/>
      <c r="CK331" s="48"/>
      <c r="CL331" s="48"/>
      <c r="CM331" s="48"/>
      <c r="CN331" s="48"/>
      <c r="CO331" s="48"/>
      <c r="CP331" s="48"/>
      <c r="CQ331" s="48"/>
      <c r="CR331" s="48"/>
      <c r="CS331" s="48"/>
      <c r="CT331" s="48"/>
      <c r="CU331" s="48"/>
      <c r="CV331" s="48"/>
      <c r="CW331" s="19"/>
      <c r="CX331" s="19"/>
      <c r="CY331" s="19"/>
      <c r="CZ331" s="19"/>
      <c r="DA331" s="21"/>
      <c r="DB331" s="21"/>
      <c r="DC331" s="79"/>
      <c r="DD331" s="79"/>
      <c r="DE331" s="79"/>
      <c r="DF331" s="79"/>
      <c r="DG331" s="79"/>
      <c r="DH331" s="51"/>
      <c r="DI331" s="39"/>
      <c r="DJ331" s="80"/>
      <c r="DK331" s="39"/>
      <c r="DL331" s="39"/>
      <c r="DM331" s="48"/>
      <c r="DN331" s="39"/>
      <c r="DO331" s="39"/>
      <c r="DP331" s="39"/>
      <c r="DQ331" s="39"/>
      <c r="DR331" s="39"/>
      <c r="DS331" s="39"/>
      <c r="DT331" s="39"/>
      <c r="DU331" s="19"/>
      <c r="DV331" s="40"/>
      <c r="DW331" s="40"/>
      <c r="DX331" s="46"/>
      <c r="DY331" s="21"/>
      <c r="DZ331" s="19"/>
      <c r="EA331" s="19"/>
      <c r="EB331" s="19"/>
      <c r="EC331" s="48"/>
      <c r="ED331" s="48"/>
      <c r="EE331" s="22"/>
      <c r="EF331" s="22"/>
      <c r="EG331" s="22"/>
      <c r="EH331" s="22"/>
      <c r="EI331" s="22"/>
      <c r="EJ331" s="22"/>
      <c r="EK331" s="40"/>
      <c r="EL331" s="19"/>
      <c r="EM331" s="19"/>
      <c r="EN331" s="40"/>
      <c r="EO331" s="40"/>
      <c r="EP331" s="40"/>
      <c r="EQ331" s="21"/>
      <c r="ER331" s="21"/>
      <c r="ES331" s="21"/>
      <c r="ET331" s="21"/>
      <c r="EU331" s="19"/>
      <c r="EV331" s="21"/>
      <c r="EW331" s="39"/>
      <c r="EX331" s="39"/>
      <c r="EY331" s="39"/>
      <c r="EZ331" s="39"/>
      <c r="FA331" s="39"/>
      <c r="FB331" s="39"/>
      <c r="FC331" s="39"/>
      <c r="FD331" s="39"/>
      <c r="FE331" s="39"/>
      <c r="FF331" s="39"/>
      <c r="FG331" s="39"/>
      <c r="FH331" s="39"/>
      <c r="FI331" s="39"/>
      <c r="FJ331" s="19"/>
      <c r="FK331" s="19"/>
      <c r="FL331" s="19"/>
      <c r="FM331" s="19"/>
      <c r="FN331" s="19"/>
      <c r="FO331" s="22">
        <v>681.72</v>
      </c>
      <c r="FP331" s="22">
        <v>709.15</v>
      </c>
      <c r="FQ331" s="22"/>
      <c r="FR331" s="22" t="s">
        <v>633</v>
      </c>
      <c r="FS331" s="22" t="s">
        <v>633</v>
      </c>
      <c r="FT331" s="22"/>
      <c r="FU331" s="40" t="s">
        <v>684</v>
      </c>
      <c r="FV331" s="19"/>
      <c r="FW331" s="19"/>
      <c r="FX331" s="19"/>
      <c r="FY331" s="19"/>
      <c r="FZ331" s="19"/>
      <c r="GA331" s="19"/>
      <c r="GB331" s="19"/>
      <c r="GC331" s="20"/>
      <c r="GD331" s="20"/>
      <c r="GE331" s="21"/>
      <c r="GF331" s="21"/>
      <c r="GG331" s="21"/>
      <c r="GH331" s="21"/>
      <c r="GI331" s="21"/>
      <c r="GJ331" s="21"/>
      <c r="GK331" s="21"/>
      <c r="GL331" s="21"/>
      <c r="GM331" s="19"/>
      <c r="GN331" s="19"/>
      <c r="GO331" s="22">
        <v>709.15</v>
      </c>
      <c r="GP331" s="22">
        <v>736.09</v>
      </c>
      <c r="GQ331" s="22"/>
      <c r="GR331" s="22" t="s">
        <v>633</v>
      </c>
      <c r="GS331" s="22" t="s">
        <v>633</v>
      </c>
      <c r="GT331" s="22"/>
      <c r="GU331" s="40" t="s">
        <v>684</v>
      </c>
      <c r="GV331" s="19"/>
      <c r="GW331" s="19"/>
      <c r="GX331" s="19"/>
      <c r="GY331" s="19"/>
      <c r="GZ331" s="23"/>
      <c r="HA331" s="22">
        <v>736.09</v>
      </c>
      <c r="HB331" s="22">
        <v>765.54</v>
      </c>
      <c r="HC331" s="22"/>
      <c r="HD331" s="22" t="s">
        <v>633</v>
      </c>
      <c r="HE331" s="22" t="s">
        <v>633</v>
      </c>
      <c r="HF331" s="22"/>
      <c r="HG331" s="236" t="s">
        <v>684</v>
      </c>
    </row>
    <row r="332" spans="2:215" ht="15.75">
      <c r="B332" s="15"/>
      <c r="C332" s="81" t="s">
        <v>639</v>
      </c>
      <c r="D332" s="73"/>
      <c r="E332" s="73"/>
      <c r="F332" s="74"/>
      <c r="G332" s="74"/>
      <c r="H332" s="74"/>
      <c r="I332" s="73"/>
      <c r="J332" s="74"/>
      <c r="K332" s="74"/>
      <c r="L332" s="74"/>
      <c r="M332" s="143"/>
      <c r="N332" s="73"/>
      <c r="O332" s="74"/>
      <c r="P332" s="74"/>
      <c r="Q332" s="74"/>
      <c r="R332" s="73"/>
      <c r="S332" s="74"/>
      <c r="T332" s="74"/>
      <c r="U332" s="74"/>
      <c r="V332" s="52"/>
      <c r="W332" s="52"/>
      <c r="X332" s="52"/>
      <c r="Y332" s="52"/>
      <c r="Z332" s="22"/>
      <c r="AA332" s="52"/>
      <c r="AB332" s="22"/>
      <c r="AC332" s="52"/>
      <c r="AD332" s="52"/>
      <c r="AE332" s="22"/>
      <c r="AF332" s="22"/>
      <c r="AG332" s="22"/>
      <c r="AH332" s="22"/>
      <c r="AI332" s="22"/>
      <c r="AJ332" s="52"/>
      <c r="AK332" s="22"/>
      <c r="AL332" s="22"/>
      <c r="AM332" s="22"/>
      <c r="AN332" s="22"/>
      <c r="AO332" s="22"/>
      <c r="AP332" s="22"/>
      <c r="AQ332" s="22"/>
      <c r="AR332" s="22"/>
      <c r="AS332" s="22"/>
      <c r="AT332" s="22"/>
      <c r="AU332" s="22"/>
      <c r="AV332" s="77"/>
      <c r="AW332" s="77"/>
      <c r="AX332" s="78"/>
      <c r="AY332" s="22"/>
      <c r="AZ332" s="22"/>
      <c r="BA332" s="22"/>
      <c r="BB332" s="22"/>
      <c r="BC332" s="22"/>
      <c r="BD332" s="22"/>
      <c r="BE332" s="22"/>
      <c r="BF332" s="22"/>
      <c r="BG332" s="22"/>
      <c r="BH332" s="22"/>
      <c r="BI332" s="22"/>
      <c r="BJ332" s="40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48"/>
      <c r="CF332" s="48"/>
      <c r="CG332" s="48"/>
      <c r="CH332" s="48"/>
      <c r="CI332" s="48"/>
      <c r="CJ332" s="48"/>
      <c r="CK332" s="48"/>
      <c r="CL332" s="48"/>
      <c r="CM332" s="48"/>
      <c r="CN332" s="48"/>
      <c r="CO332" s="48"/>
      <c r="CP332" s="48"/>
      <c r="CQ332" s="48"/>
      <c r="CR332" s="48"/>
      <c r="CS332" s="48"/>
      <c r="CT332" s="48"/>
      <c r="CU332" s="48"/>
      <c r="CV332" s="48"/>
      <c r="CW332" s="19"/>
      <c r="CX332" s="19"/>
      <c r="CY332" s="19"/>
      <c r="CZ332" s="19"/>
      <c r="DA332" s="21"/>
      <c r="DB332" s="21"/>
      <c r="DC332" s="79"/>
      <c r="DD332" s="79"/>
      <c r="DE332" s="79"/>
      <c r="DF332" s="79"/>
      <c r="DG332" s="79"/>
      <c r="DH332" s="51"/>
      <c r="DI332" s="39"/>
      <c r="DJ332" s="80"/>
      <c r="DK332" s="39"/>
      <c r="DL332" s="39"/>
      <c r="DM332" s="48"/>
      <c r="DN332" s="39"/>
      <c r="DO332" s="39"/>
      <c r="DP332" s="39"/>
      <c r="DQ332" s="39"/>
      <c r="DR332" s="39"/>
      <c r="DS332" s="39"/>
      <c r="DT332" s="39"/>
      <c r="DU332" s="19"/>
      <c r="DV332" s="40"/>
      <c r="DW332" s="40"/>
      <c r="DX332" s="46"/>
      <c r="DY332" s="21"/>
      <c r="DZ332" s="19"/>
      <c r="EA332" s="19"/>
      <c r="EB332" s="19"/>
      <c r="EC332" s="48"/>
      <c r="ED332" s="48"/>
      <c r="EE332" s="22"/>
      <c r="EF332" s="22"/>
      <c r="EG332" s="22"/>
      <c r="EH332" s="22"/>
      <c r="EI332" s="22"/>
      <c r="EJ332" s="22"/>
      <c r="EK332" s="40"/>
      <c r="EL332" s="19"/>
      <c r="EM332" s="19"/>
      <c r="EN332" s="40"/>
      <c r="EO332" s="40"/>
      <c r="EP332" s="40"/>
      <c r="EQ332" s="21"/>
      <c r="ER332" s="21"/>
      <c r="ES332" s="21"/>
      <c r="ET332" s="21"/>
      <c r="EU332" s="19"/>
      <c r="EV332" s="21"/>
      <c r="EW332" s="39"/>
      <c r="EX332" s="39"/>
      <c r="EY332" s="39"/>
      <c r="EZ332" s="39"/>
      <c r="FA332" s="39"/>
      <c r="FB332" s="39"/>
      <c r="FC332" s="39"/>
      <c r="FD332" s="39"/>
      <c r="FE332" s="39"/>
      <c r="FF332" s="39"/>
      <c r="FG332" s="39"/>
      <c r="FH332" s="39"/>
      <c r="FI332" s="39"/>
      <c r="FJ332" s="19"/>
      <c r="FK332" s="19"/>
      <c r="FL332" s="19"/>
      <c r="FM332" s="19"/>
      <c r="FN332" s="19"/>
      <c r="FO332" s="22"/>
      <c r="FP332" s="22"/>
      <c r="FQ332" s="22"/>
      <c r="FR332" s="22"/>
      <c r="FS332" s="22"/>
      <c r="FT332" s="22"/>
      <c r="FU332" s="40"/>
      <c r="FV332" s="19"/>
      <c r="FW332" s="19"/>
      <c r="FX332" s="19"/>
      <c r="FY332" s="19"/>
      <c r="FZ332" s="19"/>
      <c r="GA332" s="19"/>
      <c r="GB332" s="19"/>
      <c r="GC332" s="20"/>
      <c r="GD332" s="20"/>
      <c r="GE332" s="21"/>
      <c r="GF332" s="21"/>
      <c r="GG332" s="21"/>
      <c r="GH332" s="21"/>
      <c r="GI332" s="21"/>
      <c r="GJ332" s="21"/>
      <c r="GK332" s="21"/>
      <c r="GL332" s="21"/>
      <c r="GM332" s="19"/>
      <c r="GN332" s="19"/>
      <c r="GO332" s="22"/>
      <c r="GP332" s="22"/>
      <c r="GQ332" s="22"/>
      <c r="GR332" s="52"/>
      <c r="GS332" s="22"/>
      <c r="GT332" s="22"/>
      <c r="GU332" s="43"/>
      <c r="GV332" s="19"/>
      <c r="GW332" s="19"/>
      <c r="GX332" s="19"/>
      <c r="GY332" s="19"/>
      <c r="GZ332" s="23"/>
      <c r="HA332" s="22"/>
      <c r="HB332" s="22"/>
      <c r="HC332" s="22"/>
      <c r="HD332" s="22"/>
      <c r="HE332" s="22"/>
      <c r="HF332" s="22"/>
      <c r="HG332" s="233"/>
    </row>
    <row r="333" spans="2:215" ht="16.149999999999999" customHeight="1" thickBot="1">
      <c r="B333" s="15"/>
      <c r="C333" s="161" t="s">
        <v>642</v>
      </c>
      <c r="D333" s="76"/>
      <c r="E333" s="173"/>
      <c r="F333" s="74"/>
      <c r="G333" s="74"/>
      <c r="H333" s="74"/>
      <c r="I333" s="173"/>
      <c r="J333" s="173"/>
      <c r="K333" s="173"/>
      <c r="L333" s="173"/>
      <c r="M333" s="173"/>
      <c r="N333" s="173"/>
      <c r="O333" s="74"/>
      <c r="P333" s="74"/>
      <c r="Q333" s="74"/>
      <c r="R333" s="173"/>
      <c r="S333" s="173"/>
      <c r="T333" s="173"/>
      <c r="U333" s="173"/>
      <c r="V333" s="22"/>
      <c r="W333" s="22"/>
      <c r="X333" s="52"/>
      <c r="Y333" s="22"/>
      <c r="Z333" s="22"/>
      <c r="AA333" s="22"/>
      <c r="AB333" s="22"/>
      <c r="AC333" s="22"/>
      <c r="AD333" s="22"/>
      <c r="AE333" s="22"/>
      <c r="AF333" s="22"/>
      <c r="AG333" s="22"/>
      <c r="AH333" s="22"/>
      <c r="AI333" s="22"/>
      <c r="AJ333" s="52"/>
      <c r="AK333" s="22"/>
      <c r="AL333" s="22"/>
      <c r="AM333" s="22"/>
      <c r="AN333" s="22"/>
      <c r="AO333" s="22"/>
      <c r="AP333" s="22"/>
      <c r="AQ333" s="22"/>
      <c r="AR333" s="22"/>
      <c r="AS333" s="22"/>
      <c r="AT333" s="22"/>
      <c r="AU333" s="22"/>
      <c r="AV333" s="77"/>
      <c r="AW333" s="77"/>
      <c r="AX333" s="78"/>
      <c r="AY333" s="22"/>
      <c r="AZ333" s="22"/>
      <c r="BA333" s="22"/>
      <c r="BB333" s="22"/>
      <c r="BC333" s="22"/>
      <c r="BD333" s="22"/>
      <c r="BE333" s="22"/>
      <c r="BF333" s="22"/>
      <c r="BG333" s="22"/>
      <c r="BH333" s="22"/>
      <c r="BI333" s="22"/>
      <c r="BJ333" s="40"/>
      <c r="BK333" s="19"/>
      <c r="BL333" s="19"/>
      <c r="BM333" s="19"/>
      <c r="BN333" s="19"/>
      <c r="BO333" s="19"/>
      <c r="BP333" s="19"/>
      <c r="BQ333" s="19"/>
      <c r="BR333" s="19"/>
      <c r="BS333" s="19"/>
      <c r="BT333" s="19"/>
      <c r="BU333" s="19"/>
      <c r="BV333" s="19"/>
      <c r="BW333" s="19"/>
      <c r="BX333" s="19"/>
      <c r="BY333" s="19"/>
      <c r="BZ333" s="19"/>
      <c r="CA333" s="19"/>
      <c r="CB333" s="19"/>
      <c r="CC333" s="19"/>
      <c r="CD333" s="19"/>
      <c r="CE333" s="48"/>
      <c r="CF333" s="48"/>
      <c r="CG333" s="48"/>
      <c r="CH333" s="48"/>
      <c r="CI333" s="48"/>
      <c r="CJ333" s="48"/>
      <c r="CK333" s="48"/>
      <c r="CL333" s="48"/>
      <c r="CM333" s="48"/>
      <c r="CN333" s="48"/>
      <c r="CO333" s="48"/>
      <c r="CP333" s="48"/>
      <c r="CQ333" s="48"/>
      <c r="CR333" s="48"/>
      <c r="CS333" s="48"/>
      <c r="CT333" s="48"/>
      <c r="CU333" s="48"/>
      <c r="CV333" s="48"/>
      <c r="CW333" s="19"/>
      <c r="CX333" s="19"/>
      <c r="CY333" s="19"/>
      <c r="CZ333" s="19"/>
      <c r="DA333" s="21"/>
      <c r="DB333" s="21"/>
      <c r="DC333" s="79"/>
      <c r="DD333" s="79"/>
      <c r="DE333" s="79"/>
      <c r="DF333" s="79"/>
      <c r="DG333" s="79"/>
      <c r="DH333" s="51"/>
      <c r="DI333" s="39"/>
      <c r="DJ333" s="80"/>
      <c r="DK333" s="39"/>
      <c r="DL333" s="39"/>
      <c r="DM333" s="48"/>
      <c r="DN333" s="39"/>
      <c r="DO333" s="39"/>
      <c r="DP333" s="39"/>
      <c r="DQ333" s="39"/>
      <c r="DR333" s="39"/>
      <c r="DS333" s="39"/>
      <c r="DT333" s="39"/>
      <c r="DU333" s="19"/>
      <c r="DV333" s="40"/>
      <c r="DW333" s="40"/>
      <c r="DX333" s="21"/>
      <c r="DY333" s="21"/>
      <c r="DZ333" s="19"/>
      <c r="EA333" s="19"/>
      <c r="EB333" s="19"/>
      <c r="EC333" s="48"/>
      <c r="ED333" s="48"/>
      <c r="EE333" s="22"/>
      <c r="EF333" s="22"/>
      <c r="EG333" s="22"/>
      <c r="EH333" s="22"/>
      <c r="EI333" s="22"/>
      <c r="EJ333" s="22"/>
      <c r="EK333" s="40"/>
      <c r="EL333" s="19"/>
      <c r="EM333" s="19"/>
      <c r="EN333" s="40"/>
      <c r="EO333" s="40"/>
      <c r="EP333" s="40"/>
      <c r="EQ333" s="21"/>
      <c r="ER333" s="21"/>
      <c r="ES333" s="21"/>
      <c r="ET333" s="21"/>
      <c r="EU333" s="19"/>
      <c r="EV333" s="21"/>
      <c r="EW333" s="39"/>
      <c r="EX333" s="39"/>
      <c r="EY333" s="39"/>
      <c r="EZ333" s="39"/>
      <c r="FA333" s="39"/>
      <c r="FB333" s="39"/>
      <c r="FC333" s="39"/>
      <c r="FD333" s="39"/>
      <c r="FE333" s="39"/>
      <c r="FF333" s="39"/>
      <c r="FG333" s="39"/>
      <c r="FH333" s="39"/>
      <c r="FI333" s="39"/>
      <c r="FJ333" s="19"/>
      <c r="FK333" s="19"/>
      <c r="FL333" s="19"/>
      <c r="FM333" s="19"/>
      <c r="FN333" s="19"/>
      <c r="FO333" s="22">
        <v>288.14</v>
      </c>
      <c r="FP333" s="22">
        <v>295.93</v>
      </c>
      <c r="FQ333" s="22"/>
      <c r="FR333" s="22">
        <v>288.14</v>
      </c>
      <c r="FS333" s="22">
        <v>295.93</v>
      </c>
      <c r="FT333" s="22"/>
      <c r="FU333" s="40" t="s">
        <v>628</v>
      </c>
      <c r="FV333" s="19"/>
      <c r="FW333" s="19"/>
      <c r="FX333" s="19"/>
      <c r="FY333" s="19"/>
      <c r="FZ333" s="19"/>
      <c r="GA333" s="19"/>
      <c r="GB333" s="19"/>
      <c r="GC333" s="20"/>
      <c r="GD333" s="20"/>
      <c r="GE333" s="21"/>
      <c r="GF333" s="21"/>
      <c r="GG333" s="21"/>
      <c r="GH333" s="21"/>
      <c r="GI333" s="21"/>
      <c r="GJ333" s="21"/>
      <c r="GK333" s="21"/>
      <c r="GL333" s="21"/>
      <c r="GM333" s="19"/>
      <c r="GN333" s="19"/>
      <c r="GO333" s="57">
        <v>295.93</v>
      </c>
      <c r="GP333" s="57">
        <v>303.45999999999998</v>
      </c>
      <c r="GQ333" s="57"/>
      <c r="GR333" s="57">
        <v>295.93</v>
      </c>
      <c r="GS333" s="57">
        <v>303.45999999999998</v>
      </c>
      <c r="GT333" s="22"/>
      <c r="GU333" s="40" t="s">
        <v>628</v>
      </c>
      <c r="GV333" s="19"/>
      <c r="GW333" s="19"/>
      <c r="GX333" s="19"/>
      <c r="GY333" s="19"/>
      <c r="GZ333" s="19"/>
      <c r="HA333" s="22">
        <v>303.45999999999998</v>
      </c>
      <c r="HB333" s="22">
        <v>312.8</v>
      </c>
      <c r="HC333" s="22"/>
      <c r="HD333" s="22">
        <v>303.45999999999998</v>
      </c>
      <c r="HE333" s="22">
        <v>312.8</v>
      </c>
      <c r="HF333" s="22"/>
      <c r="HG333" s="236" t="s">
        <v>628</v>
      </c>
    </row>
    <row r="334" spans="2:215" ht="16.5" thickBot="1">
      <c r="B334" s="7" t="s">
        <v>123</v>
      </c>
      <c r="C334" s="80" t="s">
        <v>462</v>
      </c>
      <c r="D334" s="8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>
        <f t="shared" ref="X334" si="1304">+IF(V334=0,,W334/V334*100)</f>
        <v>0</v>
      </c>
      <c r="Y334" s="80"/>
      <c r="Z334" s="80">
        <f t="shared" si="1192"/>
        <v>0</v>
      </c>
      <c r="AA334" s="80"/>
      <c r="AB334" s="80">
        <f t="shared" si="1193"/>
        <v>0</v>
      </c>
      <c r="AC334" s="80"/>
      <c r="AD334" s="80"/>
      <c r="AE334" s="80">
        <f t="shared" ref="AE334" si="1305">+IF(AC334=0,,AF334/AC334*100)</f>
        <v>0</v>
      </c>
      <c r="AF334" s="80"/>
      <c r="AG334" s="80">
        <f>+IF(AC334=0,,AF334/AC334*100)</f>
        <v>0</v>
      </c>
      <c r="AH334" s="80"/>
      <c r="AI334" s="80"/>
      <c r="AJ334" s="80">
        <f t="shared" si="1194"/>
        <v>0</v>
      </c>
      <c r="AK334" s="80"/>
      <c r="AL334" s="80">
        <f t="shared" si="1195"/>
        <v>0</v>
      </c>
      <c r="AM334" s="80"/>
      <c r="AN334" s="80">
        <f t="shared" si="1196"/>
        <v>0</v>
      </c>
      <c r="AO334" s="80">
        <f t="shared" ref="AO334" si="1306">+IF(V334=0,,AA334/V334*100)</f>
        <v>0</v>
      </c>
      <c r="AP334" s="80">
        <f t="shared" si="1197"/>
        <v>0</v>
      </c>
      <c r="AQ334" s="80"/>
      <c r="AR334" s="80"/>
      <c r="AS334" s="80">
        <f t="shared" ref="AS334" si="1307">+IF(AQ334=0,,AT334/AQ334*100)</f>
        <v>0</v>
      </c>
      <c r="AT334" s="80"/>
      <c r="AU334" s="80">
        <f>+IF(AQ334=0,,AT334/AQ334*100)</f>
        <v>0</v>
      </c>
      <c r="AV334" s="77"/>
      <c r="AW334" s="77" t="e">
        <f>+CY334/$CY$334*100</f>
        <v>#DIV/0!</v>
      </c>
      <c r="AX334" s="78"/>
      <c r="AY334" s="80">
        <f t="shared" si="1240"/>
        <v>0</v>
      </c>
      <c r="AZ334" s="80"/>
      <c r="BA334" s="80"/>
      <c r="BB334" s="80"/>
      <c r="BC334" s="80"/>
      <c r="BD334" s="80"/>
      <c r="BE334" s="22">
        <f t="shared" si="1241"/>
        <v>0</v>
      </c>
      <c r="BF334" s="80"/>
      <c r="BG334" s="80"/>
      <c r="BH334" s="22">
        <f t="shared" si="1242"/>
        <v>0</v>
      </c>
      <c r="BI334" s="22"/>
      <c r="BJ334" s="40"/>
      <c r="BK334" s="80">
        <f t="shared" si="1268"/>
        <v>0</v>
      </c>
      <c r="BL334" s="80">
        <f t="shared" si="1200"/>
        <v>0</v>
      </c>
      <c r="BM334" s="80">
        <f t="shared" si="1201"/>
        <v>0</v>
      </c>
      <c r="BN334" s="80">
        <f t="shared" si="1202"/>
        <v>0</v>
      </c>
      <c r="BO334" s="80">
        <f t="shared" si="1269"/>
        <v>0</v>
      </c>
      <c r="BP334" s="80">
        <f t="shared" si="1203"/>
        <v>0</v>
      </c>
      <c r="BQ334" s="80">
        <f t="shared" si="1204"/>
        <v>0</v>
      </c>
      <c r="BR334" s="80">
        <f t="shared" si="1205"/>
        <v>0</v>
      </c>
      <c r="BS334" s="80">
        <f t="shared" si="1270"/>
        <v>0</v>
      </c>
      <c r="BT334" s="80">
        <f t="shared" si="1206"/>
        <v>0</v>
      </c>
      <c r="BU334" s="80">
        <f t="shared" si="1207"/>
        <v>0</v>
      </c>
      <c r="BV334" s="80">
        <f t="shared" si="1208"/>
        <v>0</v>
      </c>
      <c r="BW334" s="80"/>
      <c r="BX334" s="48">
        <f>+SUM(BX335:BX345)</f>
        <v>0</v>
      </c>
      <c r="BY334" s="48">
        <f>+SUM(BY335:BY345)</f>
        <v>0</v>
      </c>
      <c r="BZ334" s="80">
        <f>+AC334*R334/1000</f>
        <v>0</v>
      </c>
      <c r="CA334" s="80"/>
      <c r="CB334" s="48">
        <f>+SUM(CB335:CB345)</f>
        <v>0</v>
      </c>
      <c r="CC334" s="48">
        <f>+SUM(CC335:CC345)</f>
        <v>0</v>
      </c>
      <c r="CD334" s="80">
        <f t="shared" si="1243"/>
        <v>0</v>
      </c>
      <c r="CE334" s="80">
        <f t="shared" si="1278"/>
        <v>0</v>
      </c>
      <c r="CF334" s="80">
        <f t="shared" si="1279"/>
        <v>0</v>
      </c>
      <c r="CG334" s="80">
        <f t="shared" si="1280"/>
        <v>0</v>
      </c>
      <c r="CH334" s="80">
        <f t="shared" si="1281"/>
        <v>0</v>
      </c>
      <c r="CI334" s="80">
        <f t="shared" si="1282"/>
        <v>0</v>
      </c>
      <c r="CJ334" s="80">
        <f t="shared" si="1283"/>
        <v>0</v>
      </c>
      <c r="CK334" s="80">
        <f t="shared" si="1284"/>
        <v>0</v>
      </c>
      <c r="CL334" s="80">
        <f t="shared" si="1285"/>
        <v>0</v>
      </c>
      <c r="CM334" s="80">
        <f t="shared" si="1286"/>
        <v>0</v>
      </c>
      <c r="CN334" s="80">
        <f t="shared" si="1244"/>
        <v>0</v>
      </c>
      <c r="CO334" s="80">
        <f t="shared" si="1287"/>
        <v>0</v>
      </c>
      <c r="CP334" s="80">
        <f t="shared" si="1288"/>
        <v>0</v>
      </c>
      <c r="CQ334" s="80">
        <f t="shared" si="1289"/>
        <v>0</v>
      </c>
      <c r="CR334" s="80">
        <f t="shared" si="1290"/>
        <v>0</v>
      </c>
      <c r="CS334" s="80">
        <f t="shared" si="1291"/>
        <v>0</v>
      </c>
      <c r="CT334" s="80">
        <f t="shared" si="1292"/>
        <v>0</v>
      </c>
      <c r="CU334" s="80">
        <f t="shared" si="1245"/>
        <v>0</v>
      </c>
      <c r="CV334" s="80">
        <f t="shared" si="1293"/>
        <v>0</v>
      </c>
      <c r="CW334" s="48">
        <f>+SUM(CW335:CW345)</f>
        <v>0</v>
      </c>
      <c r="CX334" s="48">
        <f>+SUM(CX335:CX345)</f>
        <v>0</v>
      </c>
      <c r="CY334" s="48">
        <f>+SUM(CY335:CY345)</f>
        <v>0</v>
      </c>
      <c r="CZ334" s="48">
        <f>+SUM(CZ335:CZ345)</f>
        <v>0</v>
      </c>
      <c r="DA334" s="20">
        <f t="shared" si="1246"/>
        <v>0</v>
      </c>
      <c r="DB334" s="20">
        <f t="shared" si="1247"/>
        <v>0</v>
      </c>
      <c r="DC334" s="20">
        <f t="shared" si="1298"/>
        <v>0</v>
      </c>
      <c r="DD334" s="20">
        <f t="shared" si="1298"/>
        <v>0</v>
      </c>
      <c r="DE334" s="79">
        <f t="shared" ref="DE334:DF334" si="1308">+(O334+S334)*AC334/1000</f>
        <v>0</v>
      </c>
      <c r="DF334" s="79">
        <f t="shared" si="1308"/>
        <v>0</v>
      </c>
      <c r="DG334" s="79">
        <f t="shared" si="1249"/>
        <v>0</v>
      </c>
      <c r="DH334" s="51">
        <f t="shared" si="1250"/>
        <v>0</v>
      </c>
      <c r="DI334" s="39"/>
      <c r="DJ334" s="80">
        <f t="shared" si="1300"/>
        <v>0</v>
      </c>
      <c r="DK334" s="39">
        <f t="shared" si="1301"/>
        <v>0</v>
      </c>
      <c r="DL334" s="39">
        <f t="shared" si="1302"/>
        <v>0</v>
      </c>
      <c r="DM334" s="48">
        <f>+AT334-'[2]тарифы (12-13) население 15%'!AP418</f>
        <v>0</v>
      </c>
      <c r="DN334" s="39"/>
      <c r="DO334" s="39"/>
      <c r="DP334" s="39"/>
      <c r="DQ334" s="39"/>
      <c r="DR334" s="39"/>
      <c r="DS334" s="39"/>
      <c r="DT334" s="39"/>
      <c r="DU334" s="19">
        <f t="shared" si="1251"/>
        <v>0</v>
      </c>
      <c r="DV334" s="42">
        <f>+SUM(DV335:DV345)</f>
        <v>175912.28338589522</v>
      </c>
      <c r="DW334" s="42">
        <f>+SUM(DW335:DW345)</f>
        <v>290004.35315142875</v>
      </c>
      <c r="DX334" s="42">
        <f>+'[1]тарифы (НВВ) население на 4,2%'!CO433</f>
        <v>74.506605206615632</v>
      </c>
      <c r="DY334" s="42">
        <f t="shared" si="1252"/>
        <v>60.658497527463261</v>
      </c>
      <c r="DZ334" s="19">
        <f t="shared" si="1253"/>
        <v>0</v>
      </c>
      <c r="EA334" s="19">
        <f t="shared" si="1254"/>
        <v>0</v>
      </c>
      <c r="EB334" s="19"/>
      <c r="EC334" s="22">
        <f>+SUM(EC335:EC345)</f>
        <v>104687.86074371183</v>
      </c>
      <c r="ED334" s="22">
        <f>+SUM(ED335:ED345)</f>
        <v>106873.21913138643</v>
      </c>
      <c r="EE334" s="80"/>
      <c r="EF334" s="80"/>
      <c r="EG334" s="22">
        <f t="shared" si="1238"/>
        <v>0</v>
      </c>
      <c r="EH334" s="80"/>
      <c r="EI334" s="80"/>
      <c r="EJ334" s="22">
        <f t="shared" si="1239"/>
        <v>0</v>
      </c>
      <c r="EK334" s="40"/>
      <c r="EL334" s="40"/>
      <c r="EM334" s="40"/>
      <c r="EN334" s="146">
        <f>+SUM(EN335:EN345)</f>
        <v>173586.21017618646</v>
      </c>
      <c r="EO334" s="146">
        <f>+SUM(EO335:EO345)</f>
        <v>287936.52192309999</v>
      </c>
      <c r="EP334" s="146" t="e">
        <f>+$EN$442/$EN$445*EN334</f>
        <v>#REF!</v>
      </c>
      <c r="EQ334" s="42">
        <f t="shared" si="1210"/>
        <v>60.286277342249285</v>
      </c>
      <c r="ER334" s="42" t="e">
        <f>+IF((EN334+EP334)=0,,(EN334+EP334)/(EO334+EP334))*100</f>
        <v>#REF!</v>
      </c>
      <c r="ES334" s="42"/>
      <c r="ET334" s="42"/>
      <c r="EU334" s="19">
        <f t="shared" si="1222"/>
        <v>0</v>
      </c>
      <c r="EV334" s="42"/>
      <c r="EW334" s="39"/>
      <c r="EX334" s="39">
        <f t="shared" si="1255"/>
        <v>0</v>
      </c>
      <c r="EY334" s="39">
        <f t="shared" si="1303"/>
        <v>0</v>
      </c>
      <c r="EZ334" s="39"/>
      <c r="FA334" s="39"/>
      <c r="FB334" s="39"/>
      <c r="FC334" s="39"/>
      <c r="FD334" s="39"/>
      <c r="FE334" s="39"/>
      <c r="FF334" s="39"/>
      <c r="FG334" s="39"/>
      <c r="FH334" s="39"/>
      <c r="FI334" s="39"/>
      <c r="FJ334" s="41">
        <f>+SUM(FJ336:FJ345)</f>
        <v>109628.66912997967</v>
      </c>
      <c r="FK334" s="41">
        <f>+SUM(FK336:FK345)</f>
        <v>114350.31174691352</v>
      </c>
      <c r="FL334" s="41">
        <f t="shared" si="1211"/>
        <v>223978.98087689318</v>
      </c>
      <c r="FM334" s="40"/>
      <c r="FN334" s="40"/>
      <c r="FO334" s="80">
        <f t="shared" ref="FO334:FO349" si="1309">+EF334</f>
        <v>0</v>
      </c>
      <c r="FP334" s="80"/>
      <c r="FQ334" s="22"/>
      <c r="FR334" s="80">
        <f t="shared" si="1213"/>
        <v>0</v>
      </c>
      <c r="FS334" s="80"/>
      <c r="FT334" s="22"/>
      <c r="FU334" s="40"/>
      <c r="FV334" s="41">
        <f t="shared" ref="FV334:GB334" si="1310">+SUM(FV336:FV345)</f>
        <v>0</v>
      </c>
      <c r="FW334" s="41">
        <f t="shared" si="1310"/>
        <v>0</v>
      </c>
      <c r="FX334" s="41">
        <f t="shared" si="1310"/>
        <v>0</v>
      </c>
      <c r="FY334" s="41">
        <f t="shared" si="1310"/>
        <v>0</v>
      </c>
      <c r="FZ334" s="41">
        <f t="shared" si="1310"/>
        <v>0</v>
      </c>
      <c r="GA334" s="41">
        <f t="shared" si="1310"/>
        <v>0</v>
      </c>
      <c r="GB334" s="41">
        <f t="shared" si="1310"/>
        <v>0</v>
      </c>
      <c r="GC334" s="20">
        <f t="shared" ref="GC334:GC349" si="1311">+IF(FZ334=0,,FY334/FZ334*100)</f>
        <v>0</v>
      </c>
      <c r="GD334" s="20">
        <f t="shared" ref="GD334:GD348" si="1312">+IF(GB334=0,,GA334/GB334*100)</f>
        <v>0</v>
      </c>
      <c r="GE334" s="42"/>
      <c r="GF334" s="42"/>
      <c r="GG334" s="42"/>
      <c r="GH334" s="42"/>
      <c r="GI334" s="42"/>
      <c r="GJ334" s="42"/>
      <c r="GK334" s="42"/>
      <c r="GL334" s="42"/>
      <c r="GM334" s="40"/>
      <c r="GN334" s="40"/>
      <c r="GO334" s="80"/>
      <c r="GP334" s="80"/>
      <c r="GQ334" s="22"/>
      <c r="GR334" s="80"/>
      <c r="GS334" s="80"/>
      <c r="GT334" s="22"/>
      <c r="GU334" s="43"/>
      <c r="GV334" s="41"/>
      <c r="GW334" s="41"/>
      <c r="GX334" s="145">
        <f>+SUM(GX335:GX345)</f>
        <v>0</v>
      </c>
      <c r="GY334" s="145">
        <f>+SUM(GY335:GY345)</f>
        <v>0</v>
      </c>
      <c r="GZ334" s="44">
        <f>+IF(GY334=0,,GX334/GY334*100)</f>
        <v>0</v>
      </c>
      <c r="HA334" s="80"/>
      <c r="HB334" s="80"/>
      <c r="HC334" s="22"/>
      <c r="HD334" s="80"/>
      <c r="HE334" s="80"/>
      <c r="HF334" s="22"/>
      <c r="HG334" s="233"/>
    </row>
    <row r="335" spans="2:215" ht="15.75">
      <c r="B335" s="10" t="s">
        <v>463</v>
      </c>
      <c r="C335" s="81" t="s">
        <v>152</v>
      </c>
      <c r="D335" s="73"/>
      <c r="E335" s="73"/>
      <c r="F335" s="73"/>
      <c r="G335" s="73"/>
      <c r="H335" s="73"/>
      <c r="I335" s="73"/>
      <c r="J335" s="73"/>
      <c r="K335" s="73"/>
      <c r="L335" s="73"/>
      <c r="M335" s="191"/>
      <c r="N335" s="191"/>
      <c r="O335" s="74"/>
      <c r="P335" s="74"/>
      <c r="Q335" s="74"/>
      <c r="R335" s="191"/>
      <c r="S335" s="74"/>
      <c r="T335" s="74"/>
      <c r="U335" s="74"/>
      <c r="V335" s="52"/>
      <c r="W335" s="52"/>
      <c r="X335" s="52"/>
      <c r="Y335" s="52"/>
      <c r="Z335" s="22"/>
      <c r="AA335" s="52"/>
      <c r="AB335" s="22"/>
      <c r="AC335" s="52"/>
      <c r="AD335" s="52"/>
      <c r="AE335" s="22"/>
      <c r="AF335" s="22"/>
      <c r="AG335" s="22">
        <f t="shared" si="1258"/>
        <v>0</v>
      </c>
      <c r="AH335" s="52"/>
      <c r="AI335" s="52"/>
      <c r="AJ335" s="52"/>
      <c r="AK335" s="52"/>
      <c r="AL335" s="22"/>
      <c r="AM335" s="52"/>
      <c r="AN335" s="22"/>
      <c r="AO335" s="22"/>
      <c r="AP335" s="22"/>
      <c r="AQ335" s="22"/>
      <c r="AR335" s="22"/>
      <c r="AS335" s="22"/>
      <c r="AT335" s="22"/>
      <c r="AU335" s="22">
        <f t="shared" si="1237"/>
        <v>0</v>
      </c>
      <c r="AV335" s="77"/>
      <c r="AW335" s="77"/>
      <c r="AX335" s="78"/>
      <c r="AY335" s="22">
        <f t="shared" si="1240"/>
        <v>0</v>
      </c>
      <c r="AZ335" s="22"/>
      <c r="BA335" s="22"/>
      <c r="BB335" s="22"/>
      <c r="BC335" s="22"/>
      <c r="BD335" s="22"/>
      <c r="BE335" s="22">
        <f t="shared" si="1241"/>
        <v>0</v>
      </c>
      <c r="BF335" s="22"/>
      <c r="BG335" s="22"/>
      <c r="BH335" s="22">
        <f t="shared" si="1242"/>
        <v>0</v>
      </c>
      <c r="BI335" s="22"/>
      <c r="BJ335" s="40"/>
      <c r="BK335" s="19"/>
      <c r="BL335" s="19"/>
      <c r="BM335" s="19"/>
      <c r="BN335" s="19"/>
      <c r="BO335" s="19"/>
      <c r="BP335" s="19"/>
      <c r="BQ335" s="19"/>
      <c r="BR335" s="19"/>
      <c r="BS335" s="19"/>
      <c r="BT335" s="19"/>
      <c r="BU335" s="19"/>
      <c r="BV335" s="19"/>
      <c r="BW335" s="19"/>
      <c r="BX335" s="19"/>
      <c r="BY335" s="19"/>
      <c r="BZ335" s="19"/>
      <c r="CA335" s="19"/>
      <c r="CB335" s="19"/>
      <c r="CC335" s="19"/>
      <c r="CD335" s="19"/>
      <c r="CE335" s="48"/>
      <c r="CF335" s="48"/>
      <c r="CG335" s="48"/>
      <c r="CH335" s="48"/>
      <c r="CI335" s="48"/>
      <c r="CJ335" s="48"/>
      <c r="CK335" s="48"/>
      <c r="CL335" s="48"/>
      <c r="CM335" s="48"/>
      <c r="CN335" s="48"/>
      <c r="CO335" s="48"/>
      <c r="CP335" s="48"/>
      <c r="CQ335" s="48"/>
      <c r="CR335" s="48"/>
      <c r="CS335" s="48"/>
      <c r="CT335" s="48"/>
      <c r="CU335" s="48"/>
      <c r="CV335" s="48"/>
      <c r="CW335" s="19"/>
      <c r="CX335" s="19"/>
      <c r="CY335" s="19"/>
      <c r="CZ335" s="19"/>
      <c r="DA335" s="21"/>
      <c r="DB335" s="21"/>
      <c r="DC335" s="79"/>
      <c r="DD335" s="79"/>
      <c r="DE335" s="79"/>
      <c r="DF335" s="79"/>
      <c r="DG335" s="79"/>
      <c r="DH335" s="51"/>
      <c r="DI335" s="39"/>
      <c r="DJ335" s="80"/>
      <c r="DK335" s="39"/>
      <c r="DL335" s="39"/>
      <c r="DM335" s="48"/>
      <c r="DN335" s="39"/>
      <c r="DO335" s="39"/>
      <c r="DP335" s="39"/>
      <c r="DQ335" s="39"/>
      <c r="DR335" s="39"/>
      <c r="DS335" s="39"/>
      <c r="DT335" s="39"/>
      <c r="DU335" s="19">
        <f t="shared" si="1251"/>
        <v>0</v>
      </c>
      <c r="DV335" s="40">
        <f t="shared" si="1259"/>
        <v>0</v>
      </c>
      <c r="DW335" s="40">
        <f t="shared" si="1260"/>
        <v>0</v>
      </c>
      <c r="DX335" s="46"/>
      <c r="DY335" s="21">
        <f t="shared" si="1252"/>
        <v>0</v>
      </c>
      <c r="DZ335" s="19">
        <f t="shared" si="1253"/>
        <v>0</v>
      </c>
      <c r="EA335" s="19">
        <f t="shared" si="1254"/>
        <v>0</v>
      </c>
      <c r="EB335" s="19"/>
      <c r="EC335" s="48">
        <f t="shared" ref="EC335:EC345" si="1313">+(BC335-BF335/1.18)*AZ335/2</f>
        <v>0</v>
      </c>
      <c r="ED335" s="48">
        <f t="shared" ref="ED335:ED345" si="1314">+(BD335-BG335/1.18)*AZ335/2</f>
        <v>0</v>
      </c>
      <c r="EE335" s="22"/>
      <c r="EF335" s="22"/>
      <c r="EG335" s="22">
        <f t="shared" si="1238"/>
        <v>0</v>
      </c>
      <c r="EH335" s="22"/>
      <c r="EI335" s="22"/>
      <c r="EJ335" s="22">
        <f t="shared" si="1239"/>
        <v>0</v>
      </c>
      <c r="EK335" s="40"/>
      <c r="EL335" s="19"/>
      <c r="EM335" s="19"/>
      <c r="EN335" s="40">
        <f t="shared" ref="EN335:EN359" si="1315">+(EI335*EM335)/1.18</f>
        <v>0</v>
      </c>
      <c r="EO335" s="40">
        <f t="shared" ref="EO335:EO359" si="1316">+EF335*EM335</f>
        <v>0</v>
      </c>
      <c r="EP335" s="40"/>
      <c r="EQ335" s="21">
        <f t="shared" ref="EQ335:EQ345" si="1317">+IF(EO335=0,,EN335/EO335*100)</f>
        <v>0</v>
      </c>
      <c r="ER335" s="21"/>
      <c r="ES335" s="21">
        <f t="shared" ref="ES335:ES345" si="1318">+EL335*EE335</f>
        <v>0</v>
      </c>
      <c r="ET335" s="21"/>
      <c r="EU335" s="19">
        <f t="shared" ref="EU335:EU359" si="1319">+EF335*EL335</f>
        <v>0</v>
      </c>
      <c r="EV335" s="21"/>
      <c r="EW335" s="39"/>
      <c r="EX335" s="39">
        <f t="shared" si="1255"/>
        <v>0</v>
      </c>
      <c r="EY335" s="39">
        <f t="shared" si="1303"/>
        <v>0</v>
      </c>
      <c r="EZ335" s="39"/>
      <c r="FA335" s="39"/>
      <c r="FB335" s="39"/>
      <c r="FC335" s="39"/>
      <c r="FD335" s="39"/>
      <c r="FE335" s="39"/>
      <c r="FF335" s="39"/>
      <c r="FG335" s="39"/>
      <c r="FH335" s="39"/>
      <c r="FI335" s="39"/>
      <c r="FJ335" s="19">
        <f t="shared" ref="FJ335:FJ358" si="1320">+(EE335-EH335/1.18)*EM335</f>
        <v>0</v>
      </c>
      <c r="FK335" s="19">
        <f t="shared" ref="FK335:FK358" si="1321">+(EF335-EI335/1.18)*EM335</f>
        <v>0</v>
      </c>
      <c r="FL335" s="19">
        <f t="shared" ref="FL335:FL359" si="1322">+FJ335+FK335</f>
        <v>0</v>
      </c>
      <c r="FM335" s="19"/>
      <c r="FN335" s="19"/>
      <c r="FO335" s="22"/>
      <c r="FP335" s="22"/>
      <c r="FQ335" s="22"/>
      <c r="FR335" s="22"/>
      <c r="FS335" s="22"/>
      <c r="FT335" s="22"/>
      <c r="FU335" s="40"/>
      <c r="FV335" s="19"/>
      <c r="FW335" s="19"/>
      <c r="FX335" s="19"/>
      <c r="FY335" s="19"/>
      <c r="FZ335" s="19"/>
      <c r="GA335" s="19"/>
      <c r="GB335" s="19"/>
      <c r="GC335" s="20"/>
      <c r="GD335" s="20"/>
      <c r="GE335" s="21"/>
      <c r="GF335" s="21"/>
      <c r="GG335" s="21"/>
      <c r="GH335" s="21"/>
      <c r="GI335" s="21"/>
      <c r="GJ335" s="21"/>
      <c r="GK335" s="21"/>
      <c r="GL335" s="21"/>
      <c r="GM335" s="19"/>
      <c r="GN335" s="19"/>
      <c r="GO335" s="22"/>
      <c r="GP335" s="22"/>
      <c r="GQ335" s="22"/>
      <c r="GR335" s="22"/>
      <c r="GS335" s="22"/>
      <c r="GT335" s="22"/>
      <c r="GU335" s="43"/>
      <c r="GV335" s="19"/>
      <c r="GW335" s="19"/>
      <c r="GX335" s="19"/>
      <c r="GY335" s="19"/>
      <c r="GZ335" s="19"/>
      <c r="HA335" s="22"/>
      <c r="HB335" s="22"/>
      <c r="HC335" s="22"/>
      <c r="HD335" s="22"/>
      <c r="HE335" s="22"/>
      <c r="HF335" s="22"/>
      <c r="HG335" s="233"/>
    </row>
    <row r="336" spans="2:215" ht="15.75">
      <c r="B336" s="10"/>
      <c r="C336" s="161" t="s">
        <v>204</v>
      </c>
      <c r="D336" s="73"/>
      <c r="E336" s="73"/>
      <c r="F336" s="73"/>
      <c r="G336" s="73"/>
      <c r="H336" s="73"/>
      <c r="I336" s="73"/>
      <c r="J336" s="73"/>
      <c r="K336" s="73"/>
      <c r="L336" s="73"/>
      <c r="M336" s="191"/>
      <c r="N336" s="191"/>
      <c r="O336" s="74"/>
      <c r="P336" s="74"/>
      <c r="Q336" s="74"/>
      <c r="R336" s="191"/>
      <c r="S336" s="74"/>
      <c r="T336" s="74"/>
      <c r="U336" s="74"/>
      <c r="V336" s="52"/>
      <c r="W336" s="52"/>
      <c r="X336" s="52"/>
      <c r="Y336" s="52"/>
      <c r="Z336" s="22"/>
      <c r="AA336" s="52"/>
      <c r="AB336" s="22"/>
      <c r="AC336" s="52"/>
      <c r="AD336" s="52">
        <v>2523.4</v>
      </c>
      <c r="AE336" s="22">
        <f>+IF(AC336=0,,AF336/AC336*100)</f>
        <v>0</v>
      </c>
      <c r="AF336" s="22">
        <v>2523.4</v>
      </c>
      <c r="AG336" s="22">
        <f t="shared" si="1258"/>
        <v>100</v>
      </c>
      <c r="AH336" s="52"/>
      <c r="AI336" s="52"/>
      <c r="AJ336" s="52"/>
      <c r="AK336" s="52"/>
      <c r="AL336" s="22"/>
      <c r="AM336" s="52"/>
      <c r="AN336" s="22"/>
      <c r="AO336" s="22"/>
      <c r="AP336" s="22"/>
      <c r="AQ336" s="22"/>
      <c r="AR336" s="22">
        <v>1506.05</v>
      </c>
      <c r="AS336" s="22">
        <f>+IF(AQ336=0,,AT336/AQ336*100)</f>
        <v>0</v>
      </c>
      <c r="AT336" s="22">
        <v>1682.25</v>
      </c>
      <c r="AU336" s="22">
        <f t="shared" si="1237"/>
        <v>111.69947876896518</v>
      </c>
      <c r="AV336" s="77"/>
      <c r="AW336" s="77"/>
      <c r="AX336" s="78" t="s">
        <v>139</v>
      </c>
      <c r="AY336" s="22">
        <f t="shared" si="1240"/>
        <v>93.301769999999991</v>
      </c>
      <c r="AZ336" s="22">
        <f>+[8]БПр!$BX$920/1000</f>
        <v>71.23178999999999</v>
      </c>
      <c r="BA336" s="22">
        <f>+[8]БПр!$BW$920/1000</f>
        <v>16.25385</v>
      </c>
      <c r="BB336" s="22">
        <f>+[8]БПр!$BY$920/1000+[8]БПр!$BP$922/1000</f>
        <v>5.8161299999999994</v>
      </c>
      <c r="BC336" s="22">
        <v>2523.4</v>
      </c>
      <c r="BD336" s="22">
        <v>2629.38</v>
      </c>
      <c r="BE336" s="22">
        <f t="shared" si="1241"/>
        <v>104.19988903859871</v>
      </c>
      <c r="BF336" s="22">
        <v>1682.25</v>
      </c>
      <c r="BG336" s="22">
        <v>1752.9</v>
      </c>
      <c r="BH336" s="22">
        <f t="shared" si="1242"/>
        <v>104.19973250111458</v>
      </c>
      <c r="BI336" s="22">
        <f>+BD336-BG336/1.18</f>
        <v>1143.8715254237288</v>
      </c>
      <c r="BJ336" s="40" t="s">
        <v>140</v>
      </c>
      <c r="BK336" s="19"/>
      <c r="BL336" s="19"/>
      <c r="BM336" s="19"/>
      <c r="BN336" s="19"/>
      <c r="BO336" s="19"/>
      <c r="BP336" s="19"/>
      <c r="BQ336" s="19"/>
      <c r="BR336" s="19"/>
      <c r="BS336" s="19"/>
      <c r="BT336" s="19"/>
      <c r="BU336" s="19"/>
      <c r="BV336" s="19"/>
      <c r="BW336" s="19"/>
      <c r="BX336" s="19"/>
      <c r="BY336" s="19"/>
      <c r="BZ336" s="19"/>
      <c r="CA336" s="19"/>
      <c r="CB336" s="19"/>
      <c r="CC336" s="19"/>
      <c r="CD336" s="19"/>
      <c r="CE336" s="48"/>
      <c r="CF336" s="48"/>
      <c r="CG336" s="48"/>
      <c r="CH336" s="48"/>
      <c r="CI336" s="48"/>
      <c r="CJ336" s="48"/>
      <c r="CK336" s="48"/>
      <c r="CL336" s="48"/>
      <c r="CM336" s="48"/>
      <c r="CN336" s="48"/>
      <c r="CO336" s="48"/>
      <c r="CP336" s="48"/>
      <c r="CQ336" s="48"/>
      <c r="CR336" s="48"/>
      <c r="CS336" s="48"/>
      <c r="CT336" s="48"/>
      <c r="CU336" s="48"/>
      <c r="CV336" s="48"/>
      <c r="CW336" s="19"/>
      <c r="CX336" s="19"/>
      <c r="CY336" s="19"/>
      <c r="CZ336" s="19"/>
      <c r="DA336" s="21"/>
      <c r="DB336" s="21"/>
      <c r="DC336" s="79"/>
      <c r="DD336" s="79"/>
      <c r="DE336" s="79"/>
      <c r="DF336" s="79"/>
      <c r="DG336" s="79"/>
      <c r="DH336" s="51"/>
      <c r="DI336" s="39"/>
      <c r="DJ336" s="80"/>
      <c r="DK336" s="39"/>
      <c r="DL336" s="39"/>
      <c r="DM336" s="48"/>
      <c r="DN336" s="39"/>
      <c r="DO336" s="39"/>
      <c r="DP336" s="39"/>
      <c r="DQ336" s="39"/>
      <c r="DR336" s="39"/>
      <c r="DS336" s="166"/>
      <c r="DT336" s="39"/>
      <c r="DU336" s="19">
        <f t="shared" si="1251"/>
        <v>101550.5751927966</v>
      </c>
      <c r="DV336" s="40">
        <f t="shared" si="1259"/>
        <v>105815.42770423729</v>
      </c>
      <c r="DW336" s="40">
        <f t="shared" si="1260"/>
        <v>187295.44399019997</v>
      </c>
      <c r="DX336" s="21">
        <f>+('[1]тарифы (НВВ) население на 4,2%'!CL435+'[1]тарифы (НВВ) население на 4,2%'!CL436)/('[1]тарифы (НВВ) население на 4,2%'!CM435+'[1]тарифы (НВВ) население на 4,2%'!CM436)*100</f>
        <v>68.671843800661605</v>
      </c>
      <c r="DY336" s="21">
        <f t="shared" si="1252"/>
        <v>56.496530534813203</v>
      </c>
      <c r="DZ336" s="19">
        <f t="shared" si="1253"/>
        <v>235.437686418</v>
      </c>
      <c r="EA336" s="19">
        <f t="shared" si="1254"/>
        <v>245.32580800259998</v>
      </c>
      <c r="EB336" s="48">
        <v>1859.47</v>
      </c>
      <c r="EC336" s="48">
        <f>+(BC336-BF336/1.18)*AZ336</f>
        <v>78195.72369320337</v>
      </c>
      <c r="ED336" s="48">
        <f>+(BD336-BG336/1.18)*AZ336</f>
        <v>81480.016285962702</v>
      </c>
      <c r="EE336" s="22">
        <v>2629.38</v>
      </c>
      <c r="EF336" s="22">
        <v>2813.43</v>
      </c>
      <c r="EG336" s="22">
        <f t="shared" si="1238"/>
        <v>106.99974899025624</v>
      </c>
      <c r="EH336" s="22">
        <v>1752.9</v>
      </c>
      <c r="EI336" s="22">
        <v>1901.02</v>
      </c>
      <c r="EJ336" s="22">
        <f t="shared" si="1239"/>
        <v>108.44999714758399</v>
      </c>
      <c r="EK336" s="83" t="s">
        <v>141</v>
      </c>
      <c r="EL336" s="19">
        <v>92.007390000000001</v>
      </c>
      <c r="EM336" s="19">
        <v>70.390029999999996</v>
      </c>
      <c r="EN336" s="40">
        <f t="shared" si="1315"/>
        <v>113400.72443271187</v>
      </c>
      <c r="EO336" s="40">
        <f t="shared" si="1316"/>
        <v>198037.42210289999</v>
      </c>
      <c r="EP336" s="40"/>
      <c r="EQ336" s="21">
        <f t="shared" si="1317"/>
        <v>57.262270548941494</v>
      </c>
      <c r="ER336" s="21"/>
      <c r="ES336" s="21">
        <f t="shared" si="1318"/>
        <v>241922.3911182</v>
      </c>
      <c r="ET336" s="21"/>
      <c r="EU336" s="19">
        <f t="shared" si="1319"/>
        <v>258856.35124769999</v>
      </c>
      <c r="EV336" s="21"/>
      <c r="EW336" s="39"/>
      <c r="EX336" s="39">
        <f t="shared" si="1255"/>
        <v>245325.80800259998</v>
      </c>
      <c r="EY336" s="39">
        <f t="shared" si="1303"/>
        <v>262497.99877109996</v>
      </c>
      <c r="EZ336" s="39"/>
      <c r="FA336" s="39"/>
      <c r="FB336" s="39"/>
      <c r="FC336" s="39"/>
      <c r="FD336" s="39"/>
      <c r="FE336" s="39"/>
      <c r="FF336" s="39"/>
      <c r="FG336" s="39"/>
      <c r="FH336" s="39"/>
      <c r="FI336" s="39"/>
      <c r="FJ336" s="19">
        <f t="shared" si="1320"/>
        <v>80517.150990722032</v>
      </c>
      <c r="FK336" s="19">
        <f t="shared" si="1321"/>
        <v>84636.697670188107</v>
      </c>
      <c r="FL336" s="19">
        <f t="shared" si="1322"/>
        <v>165153.84866091015</v>
      </c>
      <c r="FM336" s="19">
        <v>83.831000000000003</v>
      </c>
      <c r="FN336" s="19">
        <v>64.436999999999998</v>
      </c>
      <c r="FO336" s="22">
        <v>3013.12</v>
      </c>
      <c r="FP336" s="22">
        <v>3083.47</v>
      </c>
      <c r="FQ336" s="22"/>
      <c r="FR336" s="22">
        <v>2378.62</v>
      </c>
      <c r="FS336" s="22">
        <v>2497.5500000000002</v>
      </c>
      <c r="FT336" s="22"/>
      <c r="FU336" s="241" t="s">
        <v>624</v>
      </c>
      <c r="FV336" s="19"/>
      <c r="FW336" s="19"/>
      <c r="FX336" s="19"/>
      <c r="FY336" s="19"/>
      <c r="FZ336" s="19"/>
      <c r="GA336" s="19"/>
      <c r="GB336" s="19"/>
      <c r="GC336" s="20"/>
      <c r="GD336" s="20"/>
      <c r="GE336" s="21"/>
      <c r="GF336" s="21"/>
      <c r="GG336" s="21"/>
      <c r="GH336" s="21"/>
      <c r="GI336" s="21"/>
      <c r="GJ336" s="21"/>
      <c r="GK336" s="21"/>
      <c r="GL336" s="21"/>
      <c r="GM336" s="19"/>
      <c r="GN336" s="19"/>
      <c r="GO336" s="22">
        <v>3083.47</v>
      </c>
      <c r="GP336" s="22">
        <v>3217.34</v>
      </c>
      <c r="GQ336" s="22"/>
      <c r="GR336" s="22">
        <v>2497.5500000000002</v>
      </c>
      <c r="GS336" s="22">
        <v>2592.46</v>
      </c>
      <c r="GT336" s="22"/>
      <c r="GU336" s="240" t="s">
        <v>624</v>
      </c>
      <c r="GV336" s="19"/>
      <c r="GW336" s="19"/>
      <c r="GX336" s="19"/>
      <c r="GY336" s="19"/>
      <c r="GZ336" s="23"/>
      <c r="HA336" s="22">
        <v>3217.34</v>
      </c>
      <c r="HB336" s="22">
        <v>3305.42</v>
      </c>
      <c r="HC336" s="22"/>
      <c r="HD336" s="22">
        <v>2592.46</v>
      </c>
      <c r="HE336" s="22">
        <v>2696.16</v>
      </c>
      <c r="HF336" s="22"/>
      <c r="HG336" s="240" t="s">
        <v>624</v>
      </c>
    </row>
    <row r="337" spans="2:215" ht="15.75">
      <c r="B337" s="10"/>
      <c r="C337" s="161" t="s">
        <v>464</v>
      </c>
      <c r="D337" s="73"/>
      <c r="E337" s="73"/>
      <c r="F337" s="73"/>
      <c r="G337" s="73"/>
      <c r="H337" s="73"/>
      <c r="I337" s="73"/>
      <c r="J337" s="73"/>
      <c r="K337" s="73"/>
      <c r="L337" s="73"/>
      <c r="M337" s="191"/>
      <c r="N337" s="191"/>
      <c r="O337" s="74"/>
      <c r="P337" s="74"/>
      <c r="Q337" s="74"/>
      <c r="R337" s="191"/>
      <c r="S337" s="74"/>
      <c r="T337" s="74"/>
      <c r="U337" s="74"/>
      <c r="V337" s="52"/>
      <c r="W337" s="52"/>
      <c r="X337" s="52"/>
      <c r="Y337" s="52"/>
      <c r="Z337" s="22"/>
      <c r="AA337" s="52"/>
      <c r="AB337" s="22"/>
      <c r="AC337" s="52"/>
      <c r="AD337" s="52"/>
      <c r="AE337" s="22"/>
      <c r="AF337" s="22"/>
      <c r="AG337" s="22"/>
      <c r="AH337" s="52"/>
      <c r="AI337" s="52"/>
      <c r="AJ337" s="52"/>
      <c r="AK337" s="52"/>
      <c r="AL337" s="22"/>
      <c r="AM337" s="52"/>
      <c r="AN337" s="22"/>
      <c r="AO337" s="22"/>
      <c r="AP337" s="22"/>
      <c r="AQ337" s="22"/>
      <c r="AR337" s="22"/>
      <c r="AS337" s="22"/>
      <c r="AT337" s="22"/>
      <c r="AU337" s="22"/>
      <c r="AV337" s="77"/>
      <c r="AW337" s="77"/>
      <c r="AX337" s="78"/>
      <c r="AY337" s="22"/>
      <c r="AZ337" s="22"/>
      <c r="BA337" s="22"/>
      <c r="BB337" s="22"/>
      <c r="BC337" s="22"/>
      <c r="BD337" s="22"/>
      <c r="BE337" s="22"/>
      <c r="BF337" s="22"/>
      <c r="BG337" s="22"/>
      <c r="BH337" s="22"/>
      <c r="BI337" s="22"/>
      <c r="BJ337" s="40"/>
      <c r="BK337" s="19"/>
      <c r="BL337" s="19"/>
      <c r="BM337" s="19"/>
      <c r="BN337" s="19"/>
      <c r="BO337" s="19"/>
      <c r="BP337" s="19"/>
      <c r="BQ337" s="19"/>
      <c r="BR337" s="19"/>
      <c r="BS337" s="19"/>
      <c r="BT337" s="19"/>
      <c r="BU337" s="19"/>
      <c r="BV337" s="19"/>
      <c r="BW337" s="19"/>
      <c r="BX337" s="19"/>
      <c r="BY337" s="19"/>
      <c r="BZ337" s="19"/>
      <c r="CA337" s="19"/>
      <c r="CB337" s="19"/>
      <c r="CC337" s="19"/>
      <c r="CD337" s="19"/>
      <c r="CE337" s="48"/>
      <c r="CF337" s="48"/>
      <c r="CG337" s="48"/>
      <c r="CH337" s="48"/>
      <c r="CI337" s="48"/>
      <c r="CJ337" s="48"/>
      <c r="CK337" s="48"/>
      <c r="CL337" s="48"/>
      <c r="CM337" s="48"/>
      <c r="CN337" s="48"/>
      <c r="CO337" s="48"/>
      <c r="CP337" s="48"/>
      <c r="CQ337" s="48"/>
      <c r="CR337" s="48"/>
      <c r="CS337" s="48"/>
      <c r="CT337" s="48"/>
      <c r="CU337" s="48"/>
      <c r="CV337" s="48"/>
      <c r="CW337" s="19"/>
      <c r="CX337" s="19"/>
      <c r="CY337" s="19"/>
      <c r="CZ337" s="19"/>
      <c r="DA337" s="21"/>
      <c r="DB337" s="21"/>
      <c r="DC337" s="79"/>
      <c r="DD337" s="79"/>
      <c r="DE337" s="79"/>
      <c r="DF337" s="79"/>
      <c r="DG337" s="79"/>
      <c r="DH337" s="51"/>
      <c r="DI337" s="39"/>
      <c r="DJ337" s="80"/>
      <c r="DK337" s="39"/>
      <c r="DL337" s="39"/>
      <c r="DM337" s="48"/>
      <c r="DN337" s="39"/>
      <c r="DO337" s="39"/>
      <c r="DP337" s="39"/>
      <c r="DQ337" s="39"/>
      <c r="DR337" s="39"/>
      <c r="DS337" s="166"/>
      <c r="DT337" s="39"/>
      <c r="DU337" s="19"/>
      <c r="DV337" s="40"/>
      <c r="DW337" s="40"/>
      <c r="DX337" s="21"/>
      <c r="DY337" s="21"/>
      <c r="DZ337" s="19"/>
      <c r="EA337" s="19"/>
      <c r="EB337" s="48"/>
      <c r="EC337" s="48"/>
      <c r="ED337" s="48"/>
      <c r="EE337" s="22"/>
      <c r="EF337" s="22"/>
      <c r="EG337" s="22"/>
      <c r="EH337" s="22"/>
      <c r="EI337" s="22"/>
      <c r="EJ337" s="22"/>
      <c r="EK337" s="83"/>
      <c r="EL337" s="19"/>
      <c r="EM337" s="19"/>
      <c r="EN337" s="40"/>
      <c r="EO337" s="40"/>
      <c r="EP337" s="40"/>
      <c r="EQ337" s="21"/>
      <c r="ER337" s="21"/>
      <c r="ES337" s="21"/>
      <c r="ET337" s="21"/>
      <c r="EU337" s="19"/>
      <c r="EV337" s="21"/>
      <c r="EW337" s="39"/>
      <c r="EX337" s="39"/>
      <c r="EY337" s="39"/>
      <c r="EZ337" s="39"/>
      <c r="FA337" s="39"/>
      <c r="FB337" s="39"/>
      <c r="FC337" s="39"/>
      <c r="FD337" s="39"/>
      <c r="FE337" s="39"/>
      <c r="FF337" s="39"/>
      <c r="FG337" s="39"/>
      <c r="FH337" s="39"/>
      <c r="FI337" s="39"/>
      <c r="FJ337" s="19"/>
      <c r="FK337" s="19"/>
      <c r="FL337" s="19"/>
      <c r="FM337" s="19">
        <v>5.72</v>
      </c>
      <c r="FN337" s="19">
        <v>3.0705</v>
      </c>
      <c r="FO337" s="22">
        <v>3013.12</v>
      </c>
      <c r="FP337" s="22">
        <v>3083.47</v>
      </c>
      <c r="FQ337" s="22"/>
      <c r="FR337" s="22">
        <v>1943.87</v>
      </c>
      <c r="FS337" s="22">
        <v>2041.06</v>
      </c>
      <c r="FT337" s="22"/>
      <c r="FU337" s="241"/>
      <c r="FV337" s="19"/>
      <c r="FW337" s="19"/>
      <c r="FX337" s="19"/>
      <c r="FY337" s="19"/>
      <c r="FZ337" s="19"/>
      <c r="GA337" s="19"/>
      <c r="GB337" s="19"/>
      <c r="GC337" s="20"/>
      <c r="GD337" s="20"/>
      <c r="GE337" s="21"/>
      <c r="GF337" s="21"/>
      <c r="GG337" s="21"/>
      <c r="GH337" s="21"/>
      <c r="GI337" s="21"/>
      <c r="GJ337" s="21"/>
      <c r="GK337" s="21"/>
      <c r="GL337" s="21"/>
      <c r="GM337" s="19"/>
      <c r="GN337" s="19"/>
      <c r="GO337" s="22">
        <v>3083.47</v>
      </c>
      <c r="GP337" s="22">
        <v>3217.34</v>
      </c>
      <c r="GQ337" s="22"/>
      <c r="GR337" s="22">
        <v>2041.06</v>
      </c>
      <c r="GS337" s="22">
        <v>2118.62</v>
      </c>
      <c r="GT337" s="22"/>
      <c r="GU337" s="240"/>
      <c r="GV337" s="19"/>
      <c r="GW337" s="19"/>
      <c r="GX337" s="19"/>
      <c r="GY337" s="19"/>
      <c r="GZ337" s="23"/>
      <c r="HA337" s="22">
        <v>3217.34</v>
      </c>
      <c r="HB337" s="22">
        <v>3305.42</v>
      </c>
      <c r="HC337" s="22"/>
      <c r="HD337" s="22">
        <v>2118.62</v>
      </c>
      <c r="HE337" s="22">
        <v>2203.36</v>
      </c>
      <c r="HF337" s="22"/>
      <c r="HG337" s="240"/>
    </row>
    <row r="338" spans="2:215" ht="15.75">
      <c r="B338" s="10"/>
      <c r="C338" s="184" t="s">
        <v>465</v>
      </c>
      <c r="D338" s="73"/>
      <c r="E338" s="73"/>
      <c r="F338" s="73"/>
      <c r="G338" s="73"/>
      <c r="H338" s="73"/>
      <c r="I338" s="73"/>
      <c r="J338" s="73"/>
      <c r="K338" s="73"/>
      <c r="L338" s="73"/>
      <c r="M338" s="191"/>
      <c r="N338" s="191"/>
      <c r="O338" s="74"/>
      <c r="P338" s="74"/>
      <c r="Q338" s="74"/>
      <c r="R338" s="191"/>
      <c r="S338" s="74"/>
      <c r="T338" s="74"/>
      <c r="U338" s="74"/>
      <c r="V338" s="52"/>
      <c r="W338" s="52"/>
      <c r="X338" s="52"/>
      <c r="Y338" s="52"/>
      <c r="Z338" s="22"/>
      <c r="AA338" s="52"/>
      <c r="AB338" s="22"/>
      <c r="AC338" s="52"/>
      <c r="AD338" s="22">
        <v>212.65</v>
      </c>
      <c r="AE338" s="22">
        <f>+IF(AC338=0,,AF338/AC338*100)</f>
        <v>0</v>
      </c>
      <c r="AF338" s="22">
        <v>212.65</v>
      </c>
      <c r="AG338" s="22">
        <f t="shared" si="1258"/>
        <v>100</v>
      </c>
      <c r="AH338" s="52"/>
      <c r="AI338" s="52"/>
      <c r="AJ338" s="52"/>
      <c r="AK338" s="52"/>
      <c r="AL338" s="22"/>
      <c r="AM338" s="52"/>
      <c r="AN338" s="22"/>
      <c r="AO338" s="22"/>
      <c r="AP338" s="22"/>
      <c r="AQ338" s="22"/>
      <c r="AR338" s="22">
        <v>151.28</v>
      </c>
      <c r="AS338" s="22">
        <f>+IF(AQ338=0,,AT338/AQ338*100)</f>
        <v>0</v>
      </c>
      <c r="AT338" s="22">
        <v>168.7</v>
      </c>
      <c r="AU338" s="22">
        <f t="shared" si="1237"/>
        <v>111.51507139079851</v>
      </c>
      <c r="AV338" s="77"/>
      <c r="AW338" s="77"/>
      <c r="AX338" s="78" t="s">
        <v>156</v>
      </c>
      <c r="AY338" s="22">
        <f t="shared" si="1240"/>
        <v>0</v>
      </c>
      <c r="AZ338" s="22"/>
      <c r="BA338" s="22"/>
      <c r="BB338" s="22"/>
      <c r="BC338" s="22"/>
      <c r="BD338" s="22"/>
      <c r="BE338" s="22">
        <f t="shared" si="1241"/>
        <v>0</v>
      </c>
      <c r="BF338" s="22">
        <v>168.7</v>
      </c>
      <c r="BG338" s="22">
        <v>175.78</v>
      </c>
      <c r="BH338" s="22">
        <f t="shared" si="1242"/>
        <v>104.19679905157085</v>
      </c>
      <c r="BI338" s="22"/>
      <c r="BJ338" s="40" t="s">
        <v>157</v>
      </c>
      <c r="BK338" s="19"/>
      <c r="BL338" s="19"/>
      <c r="BM338" s="19"/>
      <c r="BN338" s="19"/>
      <c r="BO338" s="19"/>
      <c r="BP338" s="19"/>
      <c r="BQ338" s="19"/>
      <c r="BR338" s="19"/>
      <c r="BS338" s="19"/>
      <c r="BT338" s="19"/>
      <c r="BU338" s="19"/>
      <c r="BV338" s="19"/>
      <c r="BW338" s="19"/>
      <c r="BX338" s="19"/>
      <c r="BY338" s="19"/>
      <c r="BZ338" s="19"/>
      <c r="CA338" s="19"/>
      <c r="CB338" s="19"/>
      <c r="CC338" s="19"/>
      <c r="CD338" s="19"/>
      <c r="CE338" s="48"/>
      <c r="CF338" s="48"/>
      <c r="CG338" s="48"/>
      <c r="CH338" s="48"/>
      <c r="CI338" s="48"/>
      <c r="CJ338" s="48"/>
      <c r="CK338" s="48"/>
      <c r="CL338" s="48"/>
      <c r="CM338" s="48"/>
      <c r="CN338" s="48"/>
      <c r="CO338" s="48"/>
      <c r="CP338" s="48"/>
      <c r="CQ338" s="48"/>
      <c r="CR338" s="48"/>
      <c r="CS338" s="48"/>
      <c r="CT338" s="48"/>
      <c r="CU338" s="48"/>
      <c r="CV338" s="48"/>
      <c r="CW338" s="19"/>
      <c r="CX338" s="19"/>
      <c r="CY338" s="19"/>
      <c r="CZ338" s="19"/>
      <c r="DA338" s="21"/>
      <c r="DB338" s="21"/>
      <c r="DC338" s="79"/>
      <c r="DD338" s="79"/>
      <c r="DE338" s="79"/>
      <c r="DF338" s="79"/>
      <c r="DG338" s="79"/>
      <c r="DH338" s="51"/>
      <c r="DI338" s="39"/>
      <c r="DJ338" s="80"/>
      <c r="DK338" s="39"/>
      <c r="DL338" s="39"/>
      <c r="DM338" s="48"/>
      <c r="DN338" s="39"/>
      <c r="DO338" s="39"/>
      <c r="DP338" s="39"/>
      <c r="DQ338" s="39"/>
      <c r="DR338" s="39"/>
      <c r="DS338" s="39"/>
      <c r="DT338" s="39"/>
      <c r="DU338" s="19">
        <f t="shared" si="1251"/>
        <v>0</v>
      </c>
      <c r="DV338" s="40">
        <f>+'[1]тарифы (НВВ) население на 4,2%'!CL438*1.042</f>
        <v>23341.450207081634</v>
      </c>
      <c r="DW338" s="40">
        <f>+'[1]тарифы (НВВ) население на 4,2%'!CM438*1.042</f>
        <v>30560.3008412288</v>
      </c>
      <c r="DX338" s="21">
        <f>+'[1]тарифы (НВВ) население на 4,2%'!CO438</f>
        <v>76.378339101923231</v>
      </c>
      <c r="DY338" s="21">
        <f t="shared" si="1252"/>
        <v>76.378339101923245</v>
      </c>
      <c r="DZ338" s="19">
        <f t="shared" si="1253"/>
        <v>0</v>
      </c>
      <c r="EA338" s="19">
        <f t="shared" si="1254"/>
        <v>0</v>
      </c>
      <c r="EB338" s="19"/>
      <c r="EC338" s="48">
        <f t="shared" si="1313"/>
        <v>0</v>
      </c>
      <c r="ED338" s="48">
        <f t="shared" si="1314"/>
        <v>0</v>
      </c>
      <c r="EE338" s="22">
        <v>221.58</v>
      </c>
      <c r="EF338" s="22">
        <v>236.62</v>
      </c>
      <c r="EG338" s="22">
        <f t="shared" si="1238"/>
        <v>106.78761621084935</v>
      </c>
      <c r="EH338" s="22">
        <v>175.78</v>
      </c>
      <c r="EI338" s="22">
        <v>190.63</v>
      </c>
      <c r="EJ338" s="22">
        <f t="shared" si="1239"/>
        <v>108.44806007509386</v>
      </c>
      <c r="EK338" s="83"/>
      <c r="EL338" s="19">
        <v>141.14292</v>
      </c>
      <c r="EM338" s="19">
        <v>125.52171000000001</v>
      </c>
      <c r="EN338" s="40">
        <f t="shared" si="1315"/>
        <v>20278.138624830513</v>
      </c>
      <c r="EO338" s="40">
        <f t="shared" si="1316"/>
        <v>29700.947020200005</v>
      </c>
      <c r="EP338" s="40"/>
      <c r="EQ338" s="21">
        <f t="shared" si="1317"/>
        <v>68.274384015563825</v>
      </c>
      <c r="ER338" s="21"/>
      <c r="ES338" s="21">
        <f t="shared" si="1318"/>
        <v>31274.448213600004</v>
      </c>
      <c r="ET338" s="21"/>
      <c r="EU338" s="19">
        <f t="shared" si="1319"/>
        <v>33397.237730400004</v>
      </c>
      <c r="EV338" s="21"/>
      <c r="EW338" s="39"/>
      <c r="EX338" s="39">
        <f t="shared" si="1255"/>
        <v>0</v>
      </c>
      <c r="EY338" s="39">
        <f t="shared" si="1303"/>
        <v>0</v>
      </c>
      <c r="EZ338" s="39"/>
      <c r="FA338" s="39"/>
      <c r="FB338" s="39"/>
      <c r="FC338" s="39"/>
      <c r="FD338" s="39"/>
      <c r="FE338" s="39"/>
      <c r="FF338" s="39"/>
      <c r="FG338" s="39"/>
      <c r="FH338" s="39"/>
      <c r="FI338" s="39"/>
      <c r="FJ338" s="19">
        <f t="shared" si="1320"/>
        <v>9114.6206850203398</v>
      </c>
      <c r="FK338" s="19">
        <f t="shared" si="1321"/>
        <v>9422.8083953694913</v>
      </c>
      <c r="FL338" s="19">
        <f t="shared" si="1322"/>
        <v>18537.429080389833</v>
      </c>
      <c r="FM338" s="19">
        <v>122.983</v>
      </c>
      <c r="FN338" s="19">
        <f>117.433-FN339</f>
        <v>107.15441000000001</v>
      </c>
      <c r="FO338" s="22">
        <v>255.3</v>
      </c>
      <c r="FP338" s="22">
        <v>261.11</v>
      </c>
      <c r="FQ338" s="22"/>
      <c r="FR338" s="22">
        <v>246.89</v>
      </c>
      <c r="FS338" s="22">
        <v>254.3</v>
      </c>
      <c r="FT338" s="22"/>
      <c r="FU338" s="242" t="s">
        <v>631</v>
      </c>
      <c r="FV338" s="19"/>
      <c r="FW338" s="19"/>
      <c r="FX338" s="19"/>
      <c r="FY338" s="19"/>
      <c r="FZ338" s="19"/>
      <c r="GA338" s="19"/>
      <c r="GB338" s="19"/>
      <c r="GC338" s="20"/>
      <c r="GD338" s="20"/>
      <c r="GE338" s="21"/>
      <c r="GF338" s="21"/>
      <c r="GG338" s="21"/>
      <c r="GH338" s="21"/>
      <c r="GI338" s="21"/>
      <c r="GJ338" s="21"/>
      <c r="GK338" s="21"/>
      <c r="GL338" s="21"/>
      <c r="GM338" s="19"/>
      <c r="GN338" s="19"/>
      <c r="GO338" s="22">
        <v>261.11</v>
      </c>
      <c r="GP338" s="22">
        <v>271.02999999999997</v>
      </c>
      <c r="GQ338" s="22"/>
      <c r="GR338" s="22">
        <v>254.3</v>
      </c>
      <c r="GS338" s="22">
        <v>263.95999999999998</v>
      </c>
      <c r="GT338" s="22"/>
      <c r="GU338" s="242" t="s">
        <v>631</v>
      </c>
      <c r="GV338" s="19"/>
      <c r="GW338" s="19"/>
      <c r="GX338" s="19"/>
      <c r="GY338" s="19"/>
      <c r="GZ338" s="23"/>
      <c r="HA338" s="22">
        <v>271.02999999999997</v>
      </c>
      <c r="HB338" s="22">
        <v>281.87</v>
      </c>
      <c r="HC338" s="22"/>
      <c r="HD338" s="22">
        <v>263.95999999999998</v>
      </c>
      <c r="HE338" s="22">
        <v>274.52</v>
      </c>
      <c r="HF338" s="22"/>
      <c r="HG338" s="242" t="s">
        <v>631</v>
      </c>
    </row>
    <row r="339" spans="2:215" ht="15.75">
      <c r="B339" s="10"/>
      <c r="C339" s="184" t="s">
        <v>466</v>
      </c>
      <c r="D339" s="73"/>
      <c r="E339" s="73"/>
      <c r="F339" s="73"/>
      <c r="G339" s="73"/>
      <c r="H339" s="73"/>
      <c r="I339" s="73"/>
      <c r="J339" s="73"/>
      <c r="K339" s="73"/>
      <c r="L339" s="73"/>
      <c r="M339" s="191"/>
      <c r="N339" s="191"/>
      <c r="O339" s="74"/>
      <c r="P339" s="74"/>
      <c r="Q339" s="74"/>
      <c r="R339" s="191"/>
      <c r="S339" s="74"/>
      <c r="T339" s="74"/>
      <c r="U339" s="74"/>
      <c r="V339" s="52"/>
      <c r="W339" s="52"/>
      <c r="X339" s="52"/>
      <c r="Y339" s="52"/>
      <c r="Z339" s="22"/>
      <c r="AA339" s="52"/>
      <c r="AB339" s="22"/>
      <c r="AC339" s="52"/>
      <c r="AD339" s="22"/>
      <c r="AE339" s="22"/>
      <c r="AF339" s="22"/>
      <c r="AG339" s="22"/>
      <c r="AH339" s="52"/>
      <c r="AI339" s="52"/>
      <c r="AJ339" s="52"/>
      <c r="AK339" s="52"/>
      <c r="AL339" s="22"/>
      <c r="AM339" s="52"/>
      <c r="AN339" s="22"/>
      <c r="AO339" s="22"/>
      <c r="AP339" s="22"/>
      <c r="AQ339" s="22"/>
      <c r="AR339" s="22"/>
      <c r="AS339" s="22"/>
      <c r="AT339" s="22"/>
      <c r="AU339" s="22"/>
      <c r="AV339" s="77"/>
      <c r="AW339" s="77"/>
      <c r="AX339" s="78"/>
      <c r="AY339" s="22"/>
      <c r="AZ339" s="22"/>
      <c r="BA339" s="22"/>
      <c r="BB339" s="22"/>
      <c r="BC339" s="22"/>
      <c r="BD339" s="22"/>
      <c r="BE339" s="22"/>
      <c r="BF339" s="22"/>
      <c r="BG339" s="22"/>
      <c r="BH339" s="22"/>
      <c r="BI339" s="22"/>
      <c r="BJ339" s="40"/>
      <c r="BK339" s="19"/>
      <c r="BL339" s="19"/>
      <c r="BM339" s="19"/>
      <c r="BN339" s="19"/>
      <c r="BO339" s="19"/>
      <c r="BP339" s="19"/>
      <c r="BQ339" s="19"/>
      <c r="BR339" s="19"/>
      <c r="BS339" s="19"/>
      <c r="BT339" s="19"/>
      <c r="BU339" s="19"/>
      <c r="BV339" s="19"/>
      <c r="BW339" s="19"/>
      <c r="BX339" s="19"/>
      <c r="BY339" s="19"/>
      <c r="BZ339" s="19"/>
      <c r="CA339" s="19"/>
      <c r="CB339" s="19"/>
      <c r="CC339" s="19"/>
      <c r="CD339" s="19"/>
      <c r="CE339" s="48"/>
      <c r="CF339" s="48"/>
      <c r="CG339" s="48"/>
      <c r="CH339" s="48"/>
      <c r="CI339" s="48"/>
      <c r="CJ339" s="48"/>
      <c r="CK339" s="48"/>
      <c r="CL339" s="48"/>
      <c r="CM339" s="48"/>
      <c r="CN339" s="48"/>
      <c r="CO339" s="48"/>
      <c r="CP339" s="48"/>
      <c r="CQ339" s="48"/>
      <c r="CR339" s="48"/>
      <c r="CS339" s="48"/>
      <c r="CT339" s="48"/>
      <c r="CU339" s="48"/>
      <c r="CV339" s="48"/>
      <c r="CW339" s="19"/>
      <c r="CX339" s="19"/>
      <c r="CY339" s="19"/>
      <c r="CZ339" s="19"/>
      <c r="DA339" s="21"/>
      <c r="DB339" s="21"/>
      <c r="DC339" s="79"/>
      <c r="DD339" s="79"/>
      <c r="DE339" s="79"/>
      <c r="DF339" s="79"/>
      <c r="DG339" s="79"/>
      <c r="DH339" s="51"/>
      <c r="DI339" s="39"/>
      <c r="DJ339" s="80"/>
      <c r="DK339" s="39"/>
      <c r="DL339" s="39"/>
      <c r="DM339" s="48"/>
      <c r="DN339" s="39"/>
      <c r="DO339" s="39"/>
      <c r="DP339" s="39"/>
      <c r="DQ339" s="39"/>
      <c r="DR339" s="39"/>
      <c r="DS339" s="39"/>
      <c r="DT339" s="39"/>
      <c r="DU339" s="19"/>
      <c r="DV339" s="40"/>
      <c r="DW339" s="40"/>
      <c r="DX339" s="21"/>
      <c r="DY339" s="21"/>
      <c r="DZ339" s="19"/>
      <c r="EA339" s="19"/>
      <c r="EB339" s="19"/>
      <c r="EC339" s="48"/>
      <c r="ED339" s="48"/>
      <c r="EE339" s="22"/>
      <c r="EF339" s="22"/>
      <c r="EG339" s="22"/>
      <c r="EH339" s="22"/>
      <c r="EI339" s="22"/>
      <c r="EJ339" s="22"/>
      <c r="EK339" s="83"/>
      <c r="EL339" s="19"/>
      <c r="EM339" s="19"/>
      <c r="EN339" s="40"/>
      <c r="EO339" s="40"/>
      <c r="EP339" s="40"/>
      <c r="EQ339" s="21"/>
      <c r="ER339" s="21"/>
      <c r="ES339" s="21"/>
      <c r="ET339" s="21"/>
      <c r="EU339" s="19"/>
      <c r="EV339" s="21"/>
      <c r="EW339" s="39"/>
      <c r="EX339" s="39"/>
      <c r="EY339" s="39"/>
      <c r="EZ339" s="39"/>
      <c r="FA339" s="39"/>
      <c r="FB339" s="39"/>
      <c r="FC339" s="39"/>
      <c r="FD339" s="39"/>
      <c r="FE339" s="39"/>
      <c r="FF339" s="39"/>
      <c r="FG339" s="39"/>
      <c r="FH339" s="39"/>
      <c r="FI339" s="39"/>
      <c r="FJ339" s="19"/>
      <c r="FK339" s="19"/>
      <c r="FL339" s="19"/>
      <c r="FM339" s="19">
        <v>10.60159</v>
      </c>
      <c r="FN339" s="19">
        <v>10.278589999999999</v>
      </c>
      <c r="FO339" s="22">
        <v>255.3</v>
      </c>
      <c r="FP339" s="22">
        <v>261.11</v>
      </c>
      <c r="FQ339" s="22"/>
      <c r="FR339" s="22">
        <v>189.17</v>
      </c>
      <c r="FS339" s="22">
        <v>194.85</v>
      </c>
      <c r="FT339" s="22"/>
      <c r="FU339" s="242"/>
      <c r="FV339" s="19"/>
      <c r="FW339" s="19"/>
      <c r="FX339" s="19"/>
      <c r="FY339" s="19"/>
      <c r="FZ339" s="19"/>
      <c r="GA339" s="19"/>
      <c r="GB339" s="19"/>
      <c r="GC339" s="20"/>
      <c r="GD339" s="20"/>
      <c r="GE339" s="21"/>
      <c r="GF339" s="21"/>
      <c r="GG339" s="21"/>
      <c r="GH339" s="21"/>
      <c r="GI339" s="21"/>
      <c r="GJ339" s="21"/>
      <c r="GK339" s="21"/>
      <c r="GL339" s="21"/>
      <c r="GM339" s="19"/>
      <c r="GN339" s="19"/>
      <c r="GO339" s="22">
        <v>261.11</v>
      </c>
      <c r="GP339" s="22">
        <v>271.02999999999997</v>
      </c>
      <c r="GQ339" s="22"/>
      <c r="GR339" s="22">
        <v>194.85</v>
      </c>
      <c r="GS339" s="22">
        <v>202.25</v>
      </c>
      <c r="GT339" s="22"/>
      <c r="GU339" s="242"/>
      <c r="GV339" s="19"/>
      <c r="GW339" s="19"/>
      <c r="GX339" s="19"/>
      <c r="GY339" s="19"/>
      <c r="GZ339" s="23"/>
      <c r="HA339" s="22">
        <v>271.02999999999997</v>
      </c>
      <c r="HB339" s="22">
        <v>281.87</v>
      </c>
      <c r="HC339" s="22"/>
      <c r="HD339" s="22">
        <v>202.25</v>
      </c>
      <c r="HE339" s="22">
        <v>210.34</v>
      </c>
      <c r="HF339" s="22"/>
      <c r="HG339" s="242"/>
    </row>
    <row r="340" spans="2:215" ht="15.75">
      <c r="B340" s="10" t="s">
        <v>467</v>
      </c>
      <c r="C340" s="81" t="s">
        <v>468</v>
      </c>
      <c r="D340" s="73"/>
      <c r="E340" s="73"/>
      <c r="F340" s="73"/>
      <c r="G340" s="73"/>
      <c r="H340" s="73"/>
      <c r="I340" s="73"/>
      <c r="J340" s="73"/>
      <c r="K340" s="73"/>
      <c r="L340" s="73"/>
      <c r="M340" s="191"/>
      <c r="N340" s="191"/>
      <c r="O340" s="74"/>
      <c r="P340" s="74"/>
      <c r="Q340" s="74"/>
      <c r="R340" s="191"/>
      <c r="S340" s="74"/>
      <c r="T340" s="74"/>
      <c r="U340" s="74"/>
      <c r="V340" s="52"/>
      <c r="W340" s="52"/>
      <c r="X340" s="52"/>
      <c r="Y340" s="52"/>
      <c r="Z340" s="22"/>
      <c r="AA340" s="52"/>
      <c r="AB340" s="22"/>
      <c r="AC340" s="52"/>
      <c r="AD340" s="52"/>
      <c r="AE340" s="22"/>
      <c r="AF340" s="22"/>
      <c r="AG340" s="22">
        <f t="shared" si="1258"/>
        <v>0</v>
      </c>
      <c r="AH340" s="52"/>
      <c r="AI340" s="52"/>
      <c r="AJ340" s="52"/>
      <c r="AK340" s="52"/>
      <c r="AL340" s="22"/>
      <c r="AM340" s="52"/>
      <c r="AN340" s="22"/>
      <c r="AO340" s="22"/>
      <c r="AP340" s="22"/>
      <c r="AQ340" s="22"/>
      <c r="AR340" s="22"/>
      <c r="AS340" s="22"/>
      <c r="AT340" s="22"/>
      <c r="AU340" s="22">
        <f t="shared" si="1237"/>
        <v>0</v>
      </c>
      <c r="AV340" s="77"/>
      <c r="AW340" s="77"/>
      <c r="AX340" s="78"/>
      <c r="AY340" s="22">
        <f t="shared" si="1240"/>
        <v>0</v>
      </c>
      <c r="AZ340" s="22"/>
      <c r="BA340" s="22"/>
      <c r="BB340" s="22"/>
      <c r="BC340" s="22"/>
      <c r="BD340" s="22"/>
      <c r="BE340" s="22">
        <f t="shared" si="1241"/>
        <v>0</v>
      </c>
      <c r="BF340" s="22"/>
      <c r="BG340" s="22"/>
      <c r="BH340" s="22">
        <f t="shared" si="1242"/>
        <v>0</v>
      </c>
      <c r="BI340" s="22"/>
      <c r="BJ340" s="40"/>
      <c r="BK340" s="19"/>
      <c r="BL340" s="19"/>
      <c r="BM340" s="19"/>
      <c r="BN340" s="19"/>
      <c r="BO340" s="19"/>
      <c r="BP340" s="19"/>
      <c r="BQ340" s="19"/>
      <c r="BR340" s="19"/>
      <c r="BS340" s="19"/>
      <c r="BT340" s="19"/>
      <c r="BU340" s="19"/>
      <c r="BV340" s="19"/>
      <c r="BW340" s="19"/>
      <c r="BX340" s="19"/>
      <c r="BY340" s="19"/>
      <c r="BZ340" s="19"/>
      <c r="CA340" s="19"/>
      <c r="CB340" s="19"/>
      <c r="CC340" s="19"/>
      <c r="CD340" s="19"/>
      <c r="CE340" s="48"/>
      <c r="CF340" s="48"/>
      <c r="CG340" s="48"/>
      <c r="CH340" s="48"/>
      <c r="CI340" s="48"/>
      <c r="CJ340" s="48"/>
      <c r="CK340" s="48"/>
      <c r="CL340" s="48"/>
      <c r="CM340" s="48"/>
      <c r="CN340" s="48"/>
      <c r="CO340" s="48"/>
      <c r="CP340" s="48"/>
      <c r="CQ340" s="48"/>
      <c r="CR340" s="48"/>
      <c r="CS340" s="48"/>
      <c r="CT340" s="48"/>
      <c r="CU340" s="48"/>
      <c r="CV340" s="48"/>
      <c r="CW340" s="19"/>
      <c r="CX340" s="19"/>
      <c r="CY340" s="19"/>
      <c r="CZ340" s="19"/>
      <c r="DA340" s="21"/>
      <c r="DB340" s="21"/>
      <c r="DC340" s="79"/>
      <c r="DD340" s="79"/>
      <c r="DE340" s="79"/>
      <c r="DF340" s="79"/>
      <c r="DG340" s="79"/>
      <c r="DH340" s="51"/>
      <c r="DI340" s="39"/>
      <c r="DJ340" s="80"/>
      <c r="DK340" s="39"/>
      <c r="DL340" s="39"/>
      <c r="DM340" s="48"/>
      <c r="DN340" s="39"/>
      <c r="DO340" s="39"/>
      <c r="DP340" s="39"/>
      <c r="DQ340" s="39"/>
      <c r="DR340" s="39"/>
      <c r="DS340" s="39"/>
      <c r="DT340" s="39"/>
      <c r="DU340" s="19">
        <f t="shared" si="1251"/>
        <v>0</v>
      </c>
      <c r="DV340" s="40">
        <f t="shared" si="1259"/>
        <v>0</v>
      </c>
      <c r="DW340" s="40">
        <f t="shared" si="1260"/>
        <v>0</v>
      </c>
      <c r="DX340" s="46"/>
      <c r="DY340" s="21">
        <f t="shared" si="1252"/>
        <v>0</v>
      </c>
      <c r="DZ340" s="19">
        <f t="shared" si="1253"/>
        <v>0</v>
      </c>
      <c r="EA340" s="19">
        <f t="shared" si="1254"/>
        <v>0</v>
      </c>
      <c r="EB340" s="19"/>
      <c r="EC340" s="48">
        <f t="shared" si="1313"/>
        <v>0</v>
      </c>
      <c r="ED340" s="48">
        <f t="shared" si="1314"/>
        <v>0</v>
      </c>
      <c r="EE340" s="22"/>
      <c r="EF340" s="22"/>
      <c r="EG340" s="22">
        <f t="shared" si="1238"/>
        <v>0</v>
      </c>
      <c r="EH340" s="22"/>
      <c r="EI340" s="22"/>
      <c r="EJ340" s="22">
        <f t="shared" si="1239"/>
        <v>0</v>
      </c>
      <c r="EK340" s="40"/>
      <c r="EL340" s="19"/>
      <c r="EM340" s="19"/>
      <c r="EN340" s="40">
        <f t="shared" si="1315"/>
        <v>0</v>
      </c>
      <c r="EO340" s="40">
        <f t="shared" si="1316"/>
        <v>0</v>
      </c>
      <c r="EP340" s="40"/>
      <c r="EQ340" s="21">
        <f t="shared" si="1317"/>
        <v>0</v>
      </c>
      <c r="ER340" s="21"/>
      <c r="ES340" s="21">
        <f t="shared" si="1318"/>
        <v>0</v>
      </c>
      <c r="ET340" s="21"/>
      <c r="EU340" s="19">
        <f t="shared" si="1319"/>
        <v>0</v>
      </c>
      <c r="EV340" s="21"/>
      <c r="EW340" s="39"/>
      <c r="EX340" s="39">
        <f t="shared" ref="EX340:EX345" si="1323">+BD340*AY340</f>
        <v>0</v>
      </c>
      <c r="EY340" s="39">
        <f t="shared" si="1303"/>
        <v>0</v>
      </c>
      <c r="EZ340" s="39"/>
      <c r="FA340" s="39"/>
      <c r="FB340" s="39"/>
      <c r="FC340" s="39"/>
      <c r="FD340" s="39"/>
      <c r="FE340" s="39"/>
      <c r="FF340" s="39"/>
      <c r="FG340" s="39"/>
      <c r="FH340" s="39"/>
      <c r="FI340" s="39"/>
      <c r="FJ340" s="19">
        <f t="shared" si="1320"/>
        <v>0</v>
      </c>
      <c r="FK340" s="19">
        <f t="shared" si="1321"/>
        <v>0</v>
      </c>
      <c r="FL340" s="19">
        <f t="shared" si="1322"/>
        <v>0</v>
      </c>
      <c r="FM340" s="19"/>
      <c r="FN340" s="19"/>
      <c r="FO340" s="22"/>
      <c r="FP340" s="22"/>
      <c r="FQ340" s="22"/>
      <c r="FR340" s="22"/>
      <c r="FS340" s="22"/>
      <c r="FT340" s="22"/>
      <c r="FU340" s="40"/>
      <c r="FV340" s="19"/>
      <c r="FW340" s="19"/>
      <c r="FX340" s="19"/>
      <c r="FY340" s="19"/>
      <c r="FZ340" s="19"/>
      <c r="GA340" s="19"/>
      <c r="GB340" s="19"/>
      <c r="GC340" s="20"/>
      <c r="GD340" s="20"/>
      <c r="GE340" s="21"/>
      <c r="GF340" s="21"/>
      <c r="GG340" s="21"/>
      <c r="GH340" s="21"/>
      <c r="GI340" s="21"/>
      <c r="GJ340" s="21"/>
      <c r="GK340" s="21"/>
      <c r="GL340" s="21"/>
      <c r="GM340" s="19"/>
      <c r="GN340" s="19"/>
      <c r="GO340" s="22"/>
      <c r="GP340" s="22"/>
      <c r="GQ340" s="22"/>
      <c r="GR340" s="22"/>
      <c r="GS340" s="22"/>
      <c r="GT340" s="22"/>
      <c r="GU340" s="43"/>
      <c r="GV340" s="19"/>
      <c r="GW340" s="19"/>
      <c r="GX340" s="19"/>
      <c r="GY340" s="19"/>
      <c r="GZ340" s="23"/>
      <c r="HA340" s="22"/>
      <c r="HB340" s="22"/>
      <c r="HC340" s="22"/>
      <c r="HD340" s="22"/>
      <c r="HE340" s="22"/>
      <c r="HF340" s="22"/>
      <c r="HG340" s="233"/>
    </row>
    <row r="341" spans="2:215" ht="15.75">
      <c r="B341" s="10"/>
      <c r="C341" s="184" t="s">
        <v>131</v>
      </c>
      <c r="D341" s="73"/>
      <c r="E341" s="73"/>
      <c r="F341" s="73"/>
      <c r="G341" s="73"/>
      <c r="H341" s="73"/>
      <c r="I341" s="73"/>
      <c r="J341" s="73"/>
      <c r="K341" s="73"/>
      <c r="L341" s="73"/>
      <c r="M341" s="191"/>
      <c r="N341" s="191"/>
      <c r="O341" s="74"/>
      <c r="P341" s="74"/>
      <c r="Q341" s="74"/>
      <c r="R341" s="191"/>
      <c r="S341" s="74"/>
      <c r="T341" s="74"/>
      <c r="U341" s="74"/>
      <c r="V341" s="52"/>
      <c r="W341" s="52"/>
      <c r="X341" s="52"/>
      <c r="Y341" s="52"/>
      <c r="Z341" s="22"/>
      <c r="AA341" s="52"/>
      <c r="AB341" s="22"/>
      <c r="AC341" s="52"/>
      <c r="AD341" s="22">
        <v>46.8</v>
      </c>
      <c r="AE341" s="22">
        <f>+IF(AC341=0,,AF341/AC341*100)</f>
        <v>0</v>
      </c>
      <c r="AF341" s="22">
        <v>46.8</v>
      </c>
      <c r="AG341" s="22">
        <f t="shared" si="1258"/>
        <v>100</v>
      </c>
      <c r="AH341" s="52"/>
      <c r="AI341" s="52"/>
      <c r="AJ341" s="52"/>
      <c r="AK341" s="52"/>
      <c r="AL341" s="22"/>
      <c r="AM341" s="52"/>
      <c r="AN341" s="22"/>
      <c r="AO341" s="22"/>
      <c r="AP341" s="22"/>
      <c r="AQ341" s="22"/>
      <c r="AR341" s="22">
        <v>30.81</v>
      </c>
      <c r="AS341" s="22">
        <f>+IF(AQ341=0,,AT341/AQ341*100)</f>
        <v>0</v>
      </c>
      <c r="AT341" s="22">
        <v>34.1</v>
      </c>
      <c r="AU341" s="22">
        <f t="shared" si="1237"/>
        <v>110.6783511846803</v>
      </c>
      <c r="AV341" s="77"/>
      <c r="AW341" s="77"/>
      <c r="AX341" s="239" t="s">
        <v>469</v>
      </c>
      <c r="AY341" s="22">
        <f t="shared" si="1240"/>
        <v>1453.8620000000001</v>
      </c>
      <c r="AZ341" s="22">
        <f>+[3]БПр!$AC$258/1000</f>
        <v>864.24</v>
      </c>
      <c r="BA341" s="22">
        <f>+[3]БПр!$AB$258/1000</f>
        <v>46.709000000000003</v>
      </c>
      <c r="BB341" s="22">
        <f>+[3]БПр!$AD$258/1000</f>
        <v>542.91300000000001</v>
      </c>
      <c r="BC341" s="22">
        <v>46.8</v>
      </c>
      <c r="BD341" s="22">
        <v>47.21</v>
      </c>
      <c r="BE341" s="22">
        <f t="shared" si="1241"/>
        <v>100.87606837606837</v>
      </c>
      <c r="BF341" s="22">
        <v>34.1</v>
      </c>
      <c r="BG341" s="22">
        <v>35.53</v>
      </c>
      <c r="BH341" s="22">
        <f t="shared" si="1242"/>
        <v>104.19354838709678</v>
      </c>
      <c r="BI341" s="22"/>
      <c r="BJ341" s="239" t="s">
        <v>470</v>
      </c>
      <c r="BK341" s="19"/>
      <c r="BL341" s="19"/>
      <c r="BM341" s="19"/>
      <c r="BN341" s="19"/>
      <c r="BO341" s="19"/>
      <c r="BP341" s="19"/>
      <c r="BQ341" s="19"/>
      <c r="BR341" s="19"/>
      <c r="BS341" s="19"/>
      <c r="BT341" s="19"/>
      <c r="BU341" s="19"/>
      <c r="BV341" s="19"/>
      <c r="BW341" s="19"/>
      <c r="BX341" s="19"/>
      <c r="BY341" s="19"/>
      <c r="BZ341" s="19"/>
      <c r="CA341" s="19"/>
      <c r="CB341" s="19"/>
      <c r="CC341" s="19"/>
      <c r="CD341" s="19"/>
      <c r="CE341" s="48"/>
      <c r="CF341" s="48"/>
      <c r="CG341" s="48"/>
      <c r="CH341" s="48"/>
      <c r="CI341" s="48"/>
      <c r="CJ341" s="48"/>
      <c r="CK341" s="48"/>
      <c r="CL341" s="48"/>
      <c r="CM341" s="48"/>
      <c r="CN341" s="48"/>
      <c r="CO341" s="48"/>
      <c r="CP341" s="48"/>
      <c r="CQ341" s="48"/>
      <c r="CR341" s="48"/>
      <c r="CS341" s="48"/>
      <c r="CT341" s="48"/>
      <c r="CU341" s="48"/>
      <c r="CV341" s="48"/>
      <c r="CW341" s="19"/>
      <c r="CX341" s="19"/>
      <c r="CY341" s="19"/>
      <c r="CZ341" s="19"/>
      <c r="DA341" s="21"/>
      <c r="DB341" s="21"/>
      <c r="DC341" s="79"/>
      <c r="DD341" s="79"/>
      <c r="DE341" s="79"/>
      <c r="DF341" s="79"/>
      <c r="DG341" s="79"/>
      <c r="DH341" s="51"/>
      <c r="DI341" s="39"/>
      <c r="DJ341" s="80"/>
      <c r="DK341" s="39"/>
      <c r="DL341" s="39"/>
      <c r="DM341" s="48"/>
      <c r="DN341" s="39"/>
      <c r="DO341" s="39"/>
      <c r="DP341" s="39"/>
      <c r="DQ341" s="39"/>
      <c r="DR341" s="39"/>
      <c r="DS341" s="19">
        <f>+BD341*1.18</f>
        <v>55.707799999999999</v>
      </c>
      <c r="DT341" s="39"/>
      <c r="DU341" s="19">
        <f t="shared" si="1251"/>
        <v>24975.07118644068</v>
      </c>
      <c r="DV341" s="40">
        <f t="shared" si="1259"/>
        <v>26022.412881355936</v>
      </c>
      <c r="DW341" s="40">
        <f t="shared" si="1260"/>
        <v>40800.770400000001</v>
      </c>
      <c r="DX341" s="21">
        <f>+'[1]тарифы (НВВ) население на 4,2%'!CO437</f>
        <v>60.754872978854515</v>
      </c>
      <c r="DY341" s="21">
        <f t="shared" si="1252"/>
        <v>63.779219427082033</v>
      </c>
      <c r="DZ341" s="19">
        <f t="shared" si="1253"/>
        <v>68.04074159999999</v>
      </c>
      <c r="EA341" s="19">
        <f t="shared" si="1254"/>
        <v>68.636825020000003</v>
      </c>
      <c r="EB341" s="19"/>
      <c r="EC341" s="48">
        <f>+(BC341-BF341/1.18)*AZ341</f>
        <v>15471.360813559319</v>
      </c>
      <c r="ED341" s="48">
        <f>+(BD341-BG341/1.18)*AZ341</f>
        <v>14778.357518644067</v>
      </c>
      <c r="EE341" s="22">
        <v>47.21</v>
      </c>
      <c r="EF341" s="22">
        <v>50.04</v>
      </c>
      <c r="EG341" s="22">
        <f t="shared" si="1238"/>
        <v>105.99449269222623</v>
      </c>
      <c r="EH341" s="22">
        <v>35.53</v>
      </c>
      <c r="EI341" s="22">
        <v>38.53</v>
      </c>
      <c r="EJ341" s="22">
        <f t="shared" si="1239"/>
        <v>108.44356881508584</v>
      </c>
      <c r="EK341" s="239" t="s">
        <v>471</v>
      </c>
      <c r="EL341" s="19">
        <v>1255.51</v>
      </c>
      <c r="EM341" s="19">
        <v>685.42</v>
      </c>
      <c r="EN341" s="40">
        <f t="shared" si="1315"/>
        <v>22380.70559322034</v>
      </c>
      <c r="EO341" s="40">
        <f t="shared" si="1316"/>
        <v>34298.416799999999</v>
      </c>
      <c r="EP341" s="40"/>
      <c r="EQ341" s="21">
        <f t="shared" si="1317"/>
        <v>65.252882439810861</v>
      </c>
      <c r="ER341" s="21"/>
      <c r="ES341" s="21">
        <f t="shared" si="1318"/>
        <v>59272.627099999998</v>
      </c>
      <c r="ET341" s="21"/>
      <c r="EU341" s="19">
        <f t="shared" si="1319"/>
        <v>62825.720399999998</v>
      </c>
      <c r="EV341" s="21"/>
      <c r="EW341" s="39"/>
      <c r="EX341" s="39">
        <f t="shared" si="1323"/>
        <v>68636.825020000004</v>
      </c>
      <c r="EY341" s="39">
        <f t="shared" si="1303"/>
        <v>72751.254480000003</v>
      </c>
      <c r="EZ341" s="39"/>
      <c r="FA341" s="39"/>
      <c r="FB341" s="39"/>
      <c r="FC341" s="39"/>
      <c r="FD341" s="39"/>
      <c r="FE341" s="39"/>
      <c r="FF341" s="39"/>
      <c r="FG341" s="39"/>
      <c r="FH341" s="39"/>
      <c r="FI341" s="39"/>
      <c r="FJ341" s="19">
        <f t="shared" si="1320"/>
        <v>11720.565827118642</v>
      </c>
      <c r="FK341" s="19">
        <f t="shared" si="1321"/>
        <v>11917.711206779659</v>
      </c>
      <c r="FL341" s="19">
        <f t="shared" si="1322"/>
        <v>23638.277033898303</v>
      </c>
      <c r="FM341" s="19">
        <v>1155.55</v>
      </c>
      <c r="FN341" s="19">
        <v>659.24</v>
      </c>
      <c r="FO341" s="22">
        <v>62.72</v>
      </c>
      <c r="FP341" s="22">
        <v>64.03</v>
      </c>
      <c r="FQ341" s="22"/>
      <c r="FR341" s="22">
        <v>53.05</v>
      </c>
      <c r="FS341" s="22">
        <v>54.48</v>
      </c>
      <c r="FT341" s="22"/>
      <c r="FU341" s="239" t="s">
        <v>701</v>
      </c>
      <c r="FV341" s="19"/>
      <c r="FW341" s="19"/>
      <c r="FX341" s="19"/>
      <c r="FY341" s="19"/>
      <c r="FZ341" s="19"/>
      <c r="GA341" s="19"/>
      <c r="GB341" s="19"/>
      <c r="GC341" s="20"/>
      <c r="GD341" s="20"/>
      <c r="GE341" s="21"/>
      <c r="GF341" s="21"/>
      <c r="GG341" s="21"/>
      <c r="GH341" s="21"/>
      <c r="GI341" s="21"/>
      <c r="GJ341" s="21"/>
      <c r="GK341" s="21"/>
      <c r="GL341" s="21"/>
      <c r="GM341" s="19"/>
      <c r="GN341" s="19"/>
      <c r="GO341" s="22">
        <v>62.84</v>
      </c>
      <c r="GP341" s="22">
        <v>63.55</v>
      </c>
      <c r="GQ341" s="22"/>
      <c r="GR341" s="22">
        <v>54.48</v>
      </c>
      <c r="GS341" s="22">
        <v>56.66</v>
      </c>
      <c r="GT341" s="22"/>
      <c r="GU341" s="239" t="s">
        <v>701</v>
      </c>
      <c r="GV341" s="19"/>
      <c r="GW341" s="19"/>
      <c r="GX341" s="19"/>
      <c r="GY341" s="19"/>
      <c r="GZ341" s="23"/>
      <c r="HA341" s="22">
        <v>63.55</v>
      </c>
      <c r="HB341" s="22">
        <v>65.72</v>
      </c>
      <c r="HC341" s="22"/>
      <c r="HD341" s="22">
        <v>56.66</v>
      </c>
      <c r="HE341" s="22">
        <v>58.93</v>
      </c>
      <c r="HF341" s="22"/>
      <c r="HG341" s="239" t="s">
        <v>701</v>
      </c>
    </row>
    <row r="342" spans="2:215" ht="15.75">
      <c r="B342" s="10"/>
      <c r="C342" s="184" t="s">
        <v>249</v>
      </c>
      <c r="D342" s="73"/>
      <c r="E342" s="73"/>
      <c r="F342" s="73"/>
      <c r="G342" s="73"/>
      <c r="H342" s="73"/>
      <c r="I342" s="73"/>
      <c r="J342" s="73"/>
      <c r="K342" s="73"/>
      <c r="L342" s="73"/>
      <c r="M342" s="191"/>
      <c r="N342" s="191"/>
      <c r="O342" s="74"/>
      <c r="P342" s="74"/>
      <c r="Q342" s="74"/>
      <c r="R342" s="191"/>
      <c r="S342" s="74"/>
      <c r="T342" s="74"/>
      <c r="U342" s="74"/>
      <c r="V342" s="52"/>
      <c r="W342" s="52"/>
      <c r="X342" s="52"/>
      <c r="Y342" s="52"/>
      <c r="Z342" s="22"/>
      <c r="AA342" s="52"/>
      <c r="AB342" s="22"/>
      <c r="AC342" s="52"/>
      <c r="AD342" s="22">
        <v>33.33</v>
      </c>
      <c r="AE342" s="22">
        <f>+IF(AC342=0,,AF342/AC342*100)</f>
        <v>0</v>
      </c>
      <c r="AF342" s="22">
        <v>33.33</v>
      </c>
      <c r="AG342" s="22">
        <f t="shared" si="1258"/>
        <v>100</v>
      </c>
      <c r="AH342" s="52"/>
      <c r="AI342" s="52"/>
      <c r="AJ342" s="52"/>
      <c r="AK342" s="52"/>
      <c r="AL342" s="22"/>
      <c r="AM342" s="52"/>
      <c r="AN342" s="22"/>
      <c r="AO342" s="22"/>
      <c r="AP342" s="22"/>
      <c r="AQ342" s="22"/>
      <c r="AR342" s="22">
        <v>22.810000000000002</v>
      </c>
      <c r="AS342" s="22">
        <f>+IF(AQ342=0,,AT342/AQ342*100)</f>
        <v>0</v>
      </c>
      <c r="AT342" s="22">
        <v>25.240000000000002</v>
      </c>
      <c r="AU342" s="22">
        <f t="shared" si="1237"/>
        <v>110.6532222709338</v>
      </c>
      <c r="AV342" s="77"/>
      <c r="AW342" s="77"/>
      <c r="AX342" s="239"/>
      <c r="AY342" s="22">
        <f t="shared" si="1240"/>
        <v>1248.6490000000003</v>
      </c>
      <c r="AZ342" s="22">
        <f>+[4]БПр!$O$430/1000</f>
        <v>905.4140000000001</v>
      </c>
      <c r="BA342" s="22">
        <f>+[4]БПр!$N$430/1000</f>
        <v>40.480000000000004</v>
      </c>
      <c r="BB342" s="22">
        <f>+[4]БПр!$P$430/1000</f>
        <v>302.75500000000011</v>
      </c>
      <c r="BC342" s="22">
        <v>33.33</v>
      </c>
      <c r="BD342" s="22">
        <v>33.78</v>
      </c>
      <c r="BE342" s="22">
        <f t="shared" si="1241"/>
        <v>101.35013501350136</v>
      </c>
      <c r="BF342" s="22">
        <v>25.24</v>
      </c>
      <c r="BG342" s="22">
        <v>26.29</v>
      </c>
      <c r="BH342" s="22">
        <f t="shared" si="1242"/>
        <v>104.16006339144215</v>
      </c>
      <c r="BI342" s="22"/>
      <c r="BJ342" s="239"/>
      <c r="BK342" s="19"/>
      <c r="BL342" s="19"/>
      <c r="BM342" s="19"/>
      <c r="BN342" s="19"/>
      <c r="BO342" s="19"/>
      <c r="BP342" s="19"/>
      <c r="BQ342" s="19"/>
      <c r="BR342" s="19"/>
      <c r="BS342" s="19"/>
      <c r="BT342" s="19"/>
      <c r="BU342" s="19"/>
      <c r="BV342" s="19"/>
      <c r="BW342" s="19"/>
      <c r="BX342" s="19"/>
      <c r="BY342" s="19"/>
      <c r="BZ342" s="19"/>
      <c r="CA342" s="19"/>
      <c r="CB342" s="19"/>
      <c r="CC342" s="19"/>
      <c r="CD342" s="19"/>
      <c r="CE342" s="48"/>
      <c r="CF342" s="48"/>
      <c r="CG342" s="48"/>
      <c r="CH342" s="48"/>
      <c r="CI342" s="48"/>
      <c r="CJ342" s="48"/>
      <c r="CK342" s="48"/>
      <c r="CL342" s="48"/>
      <c r="CM342" s="48"/>
      <c r="CN342" s="48"/>
      <c r="CO342" s="48"/>
      <c r="CP342" s="48"/>
      <c r="CQ342" s="48"/>
      <c r="CR342" s="48"/>
      <c r="CS342" s="48"/>
      <c r="CT342" s="48"/>
      <c r="CU342" s="48"/>
      <c r="CV342" s="48"/>
      <c r="CW342" s="19"/>
      <c r="CX342" s="19"/>
      <c r="CY342" s="19"/>
      <c r="CZ342" s="19"/>
      <c r="DA342" s="21"/>
      <c r="DB342" s="21"/>
      <c r="DC342" s="79"/>
      <c r="DD342" s="79"/>
      <c r="DE342" s="79"/>
      <c r="DF342" s="79"/>
      <c r="DG342" s="79"/>
      <c r="DH342" s="51"/>
      <c r="DI342" s="39"/>
      <c r="DJ342" s="80"/>
      <c r="DK342" s="39"/>
      <c r="DL342" s="39"/>
      <c r="DM342" s="48"/>
      <c r="DN342" s="39"/>
      <c r="DO342" s="39"/>
      <c r="DP342" s="39"/>
      <c r="DQ342" s="39"/>
      <c r="DR342" s="39"/>
      <c r="DS342" s="19">
        <f>+BD342*1.18</f>
        <v>39.860399999999998</v>
      </c>
      <c r="DT342" s="39"/>
      <c r="DU342" s="19">
        <f t="shared" si="1251"/>
        <v>19366.652000000002</v>
      </c>
      <c r="DV342" s="40">
        <f t="shared" si="1259"/>
        <v>20172.317000000003</v>
      </c>
      <c r="DW342" s="40">
        <f t="shared" si="1260"/>
        <v>30584.884920000004</v>
      </c>
      <c r="DX342" s="21">
        <f>+'[1]тарифы (НВВ) население на 4,2%'!CO438</f>
        <v>76.378339101923231</v>
      </c>
      <c r="DY342" s="21">
        <f t="shared" si="1252"/>
        <v>65.955183590731664</v>
      </c>
      <c r="DZ342" s="19">
        <f t="shared" si="1253"/>
        <v>41.617471170000009</v>
      </c>
      <c r="EA342" s="19">
        <f t="shared" si="1254"/>
        <v>42.179363220000013</v>
      </c>
      <c r="EB342" s="19"/>
      <c r="EC342" s="48">
        <f>+(BC342-BF342/1.18)*AZ342</f>
        <v>10810.796620000001</v>
      </c>
      <c r="ED342" s="48">
        <f>+(BD342-BG342/1.18)*AZ342</f>
        <v>10412.567920000003</v>
      </c>
      <c r="EE342" s="22">
        <v>33.78</v>
      </c>
      <c r="EF342" s="22">
        <v>35.799999999999997</v>
      </c>
      <c r="EG342" s="22">
        <f t="shared" si="1238"/>
        <v>105.97986974541146</v>
      </c>
      <c r="EH342" s="22">
        <v>26.29</v>
      </c>
      <c r="EI342" s="22">
        <v>28.51</v>
      </c>
      <c r="EJ342" s="22">
        <f t="shared" si="1239"/>
        <v>108.44427538988208</v>
      </c>
      <c r="EK342" s="239"/>
      <c r="EL342" s="19">
        <v>1057.5</v>
      </c>
      <c r="EM342" s="19">
        <v>706.3</v>
      </c>
      <c r="EN342" s="40">
        <f t="shared" si="1315"/>
        <v>17064.926271186443</v>
      </c>
      <c r="EO342" s="40">
        <f t="shared" si="1316"/>
        <v>25285.539999999997</v>
      </c>
      <c r="EP342" s="40"/>
      <c r="EQ342" s="21">
        <f t="shared" si="1317"/>
        <v>67.488874159643984</v>
      </c>
      <c r="ER342" s="21"/>
      <c r="ES342" s="21">
        <f t="shared" si="1318"/>
        <v>35722.35</v>
      </c>
      <c r="ET342" s="21"/>
      <c r="EU342" s="19">
        <f t="shared" si="1319"/>
        <v>37858.5</v>
      </c>
      <c r="EV342" s="21"/>
      <c r="EW342" s="39"/>
      <c r="EX342" s="39">
        <f t="shared" si="1323"/>
        <v>42179.363220000014</v>
      </c>
      <c r="EY342" s="39">
        <f t="shared" si="1303"/>
        <v>44701.634200000008</v>
      </c>
      <c r="EZ342" s="39"/>
      <c r="FA342" s="39"/>
      <c r="FB342" s="39"/>
      <c r="FC342" s="39"/>
      <c r="FD342" s="39"/>
      <c r="FE342" s="39"/>
      <c r="FF342" s="39"/>
      <c r="FG342" s="39"/>
      <c r="FH342" s="39"/>
      <c r="FI342" s="39"/>
      <c r="FJ342" s="19">
        <f t="shared" si="1320"/>
        <v>8122.6894237288143</v>
      </c>
      <c r="FK342" s="19">
        <f t="shared" si="1321"/>
        <v>8220.613728813556</v>
      </c>
      <c r="FL342" s="19">
        <f t="shared" si="1322"/>
        <v>16343.30315254237</v>
      </c>
      <c r="FM342" s="19">
        <v>1010.373</v>
      </c>
      <c r="FN342" s="19">
        <v>666.39200000000005</v>
      </c>
      <c r="FO342" s="22">
        <v>48.84</v>
      </c>
      <c r="FP342" s="22">
        <v>49.81</v>
      </c>
      <c r="FQ342" s="22"/>
      <c r="FR342" s="22">
        <v>39.97</v>
      </c>
      <c r="FS342" s="22">
        <v>41.05</v>
      </c>
      <c r="FT342" s="22"/>
      <c r="FU342" s="239"/>
      <c r="FV342" s="19"/>
      <c r="FW342" s="19"/>
      <c r="FX342" s="19"/>
      <c r="FY342" s="19"/>
      <c r="FZ342" s="19"/>
      <c r="GA342" s="19"/>
      <c r="GB342" s="19"/>
      <c r="GC342" s="20"/>
      <c r="GD342" s="20"/>
      <c r="GE342" s="21"/>
      <c r="GF342" s="21"/>
      <c r="GG342" s="21"/>
      <c r="GH342" s="21"/>
      <c r="GI342" s="21"/>
      <c r="GJ342" s="21"/>
      <c r="GK342" s="21"/>
      <c r="GL342" s="21"/>
      <c r="GM342" s="19"/>
      <c r="GN342" s="19"/>
      <c r="GO342" s="22">
        <v>49.45</v>
      </c>
      <c r="GP342" s="22">
        <v>50.97</v>
      </c>
      <c r="GQ342" s="22"/>
      <c r="GR342" s="22">
        <v>41.05</v>
      </c>
      <c r="GS342" s="22">
        <v>42.69</v>
      </c>
      <c r="GT342" s="22"/>
      <c r="GU342" s="239"/>
      <c r="GV342" s="19"/>
      <c r="GW342" s="19"/>
      <c r="GX342" s="19"/>
      <c r="GY342" s="19"/>
      <c r="GZ342" s="23"/>
      <c r="HA342" s="22">
        <v>50.97</v>
      </c>
      <c r="HB342" s="22">
        <v>52.37</v>
      </c>
      <c r="HC342" s="22"/>
      <c r="HD342" s="22">
        <v>42.69</v>
      </c>
      <c r="HE342" s="22">
        <v>44.4</v>
      </c>
      <c r="HF342" s="22"/>
      <c r="HG342" s="239"/>
    </row>
    <row r="343" spans="2:215" ht="15.75">
      <c r="B343" s="10"/>
      <c r="C343" s="184" t="s">
        <v>134</v>
      </c>
      <c r="D343" s="73"/>
      <c r="E343" s="73"/>
      <c r="F343" s="73"/>
      <c r="G343" s="73"/>
      <c r="H343" s="73"/>
      <c r="I343" s="73"/>
      <c r="J343" s="73"/>
      <c r="K343" s="73"/>
      <c r="L343" s="73"/>
      <c r="M343" s="191"/>
      <c r="N343" s="191"/>
      <c r="O343" s="74"/>
      <c r="P343" s="74"/>
      <c r="Q343" s="74"/>
      <c r="R343" s="191"/>
      <c r="S343" s="74"/>
      <c r="T343" s="74"/>
      <c r="U343" s="74"/>
      <c r="V343" s="52"/>
      <c r="W343" s="52"/>
      <c r="X343" s="52"/>
      <c r="Y343" s="52"/>
      <c r="Z343" s="22"/>
      <c r="AA343" s="52"/>
      <c r="AB343" s="22"/>
      <c r="AC343" s="52"/>
      <c r="AD343" s="22">
        <v>13.44</v>
      </c>
      <c r="AE343" s="22">
        <f>+IF(AC343=0,,AF343/AC343*100)</f>
        <v>0</v>
      </c>
      <c r="AF343" s="22">
        <v>13.44</v>
      </c>
      <c r="AG343" s="22">
        <f t="shared" si="1258"/>
        <v>100</v>
      </c>
      <c r="AH343" s="52"/>
      <c r="AI343" s="52"/>
      <c r="AJ343" s="52"/>
      <c r="AK343" s="52"/>
      <c r="AL343" s="22"/>
      <c r="AM343" s="52"/>
      <c r="AN343" s="22"/>
      <c r="AO343" s="22"/>
      <c r="AP343" s="22"/>
      <c r="AQ343" s="22"/>
      <c r="AR343" s="22">
        <v>10.31</v>
      </c>
      <c r="AS343" s="22">
        <f>+IF(AQ343=0,,AT343/AQ343*100)</f>
        <v>0</v>
      </c>
      <c r="AT343" s="22">
        <v>11.41</v>
      </c>
      <c r="AU343" s="22">
        <f t="shared" si="1237"/>
        <v>110.66925315227934</v>
      </c>
      <c r="AV343" s="77"/>
      <c r="AW343" s="77"/>
      <c r="AX343" s="239"/>
      <c r="AY343" s="22">
        <f t="shared" si="1240"/>
        <v>57.349000000000011</v>
      </c>
      <c r="AZ343" s="22">
        <f>+[4]БПр!$O$458/1000</f>
        <v>55.690000000000012</v>
      </c>
      <c r="BA343" s="22">
        <f>+[4]БПр!$N$458/1000</f>
        <v>1.659</v>
      </c>
      <c r="BB343" s="22"/>
      <c r="BC343" s="22">
        <v>13.44</v>
      </c>
      <c r="BD343" s="22">
        <v>13.7</v>
      </c>
      <c r="BE343" s="22">
        <f t="shared" si="1241"/>
        <v>101.93452380952381</v>
      </c>
      <c r="BF343" s="22">
        <v>11.41</v>
      </c>
      <c r="BG343" s="22">
        <v>11.88</v>
      </c>
      <c r="BH343" s="22">
        <f t="shared" si="1242"/>
        <v>104.11919368974584</v>
      </c>
      <c r="BI343" s="22"/>
      <c r="BJ343" s="239"/>
      <c r="BK343" s="19"/>
      <c r="BL343" s="19"/>
      <c r="BM343" s="19"/>
      <c r="BN343" s="19"/>
      <c r="BO343" s="19"/>
      <c r="BP343" s="19"/>
      <c r="BQ343" s="19"/>
      <c r="BR343" s="19"/>
      <c r="BS343" s="19"/>
      <c r="BT343" s="19"/>
      <c r="BU343" s="19"/>
      <c r="BV343" s="19"/>
      <c r="BW343" s="19"/>
      <c r="BX343" s="19"/>
      <c r="BY343" s="19"/>
      <c r="BZ343" s="19"/>
      <c r="CA343" s="19"/>
      <c r="CB343" s="19"/>
      <c r="CC343" s="19"/>
      <c r="CD343" s="19"/>
      <c r="CE343" s="48"/>
      <c r="CF343" s="48"/>
      <c r="CG343" s="48"/>
      <c r="CH343" s="48"/>
      <c r="CI343" s="48"/>
      <c r="CJ343" s="48"/>
      <c r="CK343" s="48"/>
      <c r="CL343" s="48"/>
      <c r="CM343" s="48"/>
      <c r="CN343" s="48"/>
      <c r="CO343" s="48"/>
      <c r="CP343" s="48"/>
      <c r="CQ343" s="48"/>
      <c r="CR343" s="48"/>
      <c r="CS343" s="48"/>
      <c r="CT343" s="48"/>
      <c r="CU343" s="48"/>
      <c r="CV343" s="48"/>
      <c r="CW343" s="19"/>
      <c r="CX343" s="19"/>
      <c r="CY343" s="19"/>
      <c r="CZ343" s="19"/>
      <c r="DA343" s="21"/>
      <c r="DB343" s="21"/>
      <c r="DC343" s="79"/>
      <c r="DD343" s="79"/>
      <c r="DE343" s="79"/>
      <c r="DF343" s="79"/>
      <c r="DG343" s="79"/>
      <c r="DH343" s="51"/>
      <c r="DI343" s="39"/>
      <c r="DJ343" s="80"/>
      <c r="DK343" s="39"/>
      <c r="DL343" s="39"/>
      <c r="DM343" s="48"/>
      <c r="DN343" s="39"/>
      <c r="DO343" s="39"/>
      <c r="DP343" s="39"/>
      <c r="DQ343" s="39"/>
      <c r="DR343" s="39"/>
      <c r="DS343" s="19">
        <f>+BD343*1.18</f>
        <v>16.165999999999997</v>
      </c>
      <c r="DT343" s="39"/>
      <c r="DU343" s="19">
        <f t="shared" si="1251"/>
        <v>538.49398305084765</v>
      </c>
      <c r="DV343" s="40">
        <f t="shared" si="1259"/>
        <v>560.67559322033912</v>
      </c>
      <c r="DW343" s="40">
        <f t="shared" si="1260"/>
        <v>762.95300000000009</v>
      </c>
      <c r="DX343" s="21">
        <f>+'[1]тарифы (НВВ) население на 4,2%'!CO439</f>
        <v>63.400984507552714</v>
      </c>
      <c r="DY343" s="21">
        <f t="shared" si="1252"/>
        <v>73.487566497587537</v>
      </c>
      <c r="DZ343" s="19">
        <f t="shared" si="1253"/>
        <v>0.7707705600000001</v>
      </c>
      <c r="EA343" s="19">
        <f t="shared" si="1254"/>
        <v>0.78568130000000003</v>
      </c>
      <c r="EB343" s="19"/>
      <c r="EC343" s="48">
        <f>+(BC343-BF343/1.18)*AZ343</f>
        <v>209.97961694915247</v>
      </c>
      <c r="ED343" s="48">
        <f>+(BD343-BG343/1.18)*AZ343</f>
        <v>202.27740677966094</v>
      </c>
      <c r="EE343" s="22">
        <v>13.7</v>
      </c>
      <c r="EF343" s="22">
        <v>14.52</v>
      </c>
      <c r="EG343" s="22">
        <f t="shared" si="1238"/>
        <v>105.98540145985402</v>
      </c>
      <c r="EH343" s="22">
        <v>11.88</v>
      </c>
      <c r="EI343" s="22">
        <v>12.88</v>
      </c>
      <c r="EJ343" s="22">
        <f t="shared" si="1239"/>
        <v>108.41750841750842</v>
      </c>
      <c r="EK343" s="239"/>
      <c r="EL343" s="19">
        <v>43.8</v>
      </c>
      <c r="EM343" s="19">
        <v>42.3</v>
      </c>
      <c r="EN343" s="40">
        <f t="shared" si="1315"/>
        <v>461.71525423728815</v>
      </c>
      <c r="EO343" s="40">
        <f t="shared" si="1316"/>
        <v>614.19599999999991</v>
      </c>
      <c r="EP343" s="40"/>
      <c r="EQ343" s="21">
        <f t="shared" si="1317"/>
        <v>75.173927254050525</v>
      </c>
      <c r="ER343" s="21"/>
      <c r="ES343" s="21">
        <f t="shared" si="1318"/>
        <v>600.05999999999995</v>
      </c>
      <c r="ET343" s="21"/>
      <c r="EU343" s="19">
        <f t="shared" si="1319"/>
        <v>635.97599999999989</v>
      </c>
      <c r="EV343" s="21"/>
      <c r="EW343" s="39"/>
      <c r="EX343" s="39">
        <f t="shared" si="1323"/>
        <v>785.68130000000008</v>
      </c>
      <c r="EY343" s="39">
        <f t="shared" si="1303"/>
        <v>832.70748000000015</v>
      </c>
      <c r="EZ343" s="39"/>
      <c r="FA343" s="39"/>
      <c r="FB343" s="39"/>
      <c r="FC343" s="39"/>
      <c r="FD343" s="39"/>
      <c r="FE343" s="39"/>
      <c r="FF343" s="39"/>
      <c r="FG343" s="39"/>
      <c r="FH343" s="39"/>
      <c r="FI343" s="39"/>
      <c r="FJ343" s="19">
        <f t="shared" si="1320"/>
        <v>153.6422033898304</v>
      </c>
      <c r="FK343" s="19">
        <f t="shared" si="1321"/>
        <v>152.48074576271179</v>
      </c>
      <c r="FL343" s="19">
        <f t="shared" si="1322"/>
        <v>306.12294915254222</v>
      </c>
      <c r="FM343" s="19">
        <v>45.508000000000003</v>
      </c>
      <c r="FN343" s="19">
        <v>39.625999999999998</v>
      </c>
      <c r="FO343" s="22">
        <v>18.75</v>
      </c>
      <c r="FP343" s="22">
        <v>19.12</v>
      </c>
      <c r="FQ343" s="22"/>
      <c r="FR343" s="22">
        <v>17.72</v>
      </c>
      <c r="FS343" s="22">
        <v>18.190000000000001</v>
      </c>
      <c r="FT343" s="22"/>
      <c r="FU343" s="239"/>
      <c r="FV343" s="19"/>
      <c r="FW343" s="19"/>
      <c r="FX343" s="19"/>
      <c r="FY343" s="19"/>
      <c r="FZ343" s="19"/>
      <c r="GA343" s="19"/>
      <c r="GB343" s="19"/>
      <c r="GC343" s="20"/>
      <c r="GD343" s="20"/>
      <c r="GE343" s="21"/>
      <c r="GF343" s="21"/>
      <c r="GG343" s="21"/>
      <c r="GH343" s="21"/>
      <c r="GI343" s="21"/>
      <c r="GJ343" s="21"/>
      <c r="GK343" s="21"/>
      <c r="GL343" s="21"/>
      <c r="GM343" s="19"/>
      <c r="GN343" s="19"/>
      <c r="GO343" s="22">
        <v>18.75</v>
      </c>
      <c r="GP343" s="22">
        <v>19.329999999999998</v>
      </c>
      <c r="GQ343" s="22"/>
      <c r="GR343" s="22">
        <v>18.190000000000001</v>
      </c>
      <c r="GS343" s="22">
        <v>18.920000000000002</v>
      </c>
      <c r="GT343" s="22"/>
      <c r="GU343" s="239"/>
      <c r="GV343" s="19"/>
      <c r="GW343" s="19"/>
      <c r="GX343" s="19"/>
      <c r="GY343" s="19"/>
      <c r="GZ343" s="23"/>
      <c r="HA343" s="22">
        <v>19.329999999999998</v>
      </c>
      <c r="HB343" s="22">
        <v>19.850000000000001</v>
      </c>
      <c r="HC343" s="22"/>
      <c r="HD343" s="22">
        <v>18.920000000000002</v>
      </c>
      <c r="HE343" s="22">
        <v>19.68</v>
      </c>
      <c r="HF343" s="22"/>
      <c r="HG343" s="239"/>
    </row>
    <row r="344" spans="2:215" ht="15.75">
      <c r="B344" s="10"/>
      <c r="C344" s="184" t="s">
        <v>135</v>
      </c>
      <c r="D344" s="73"/>
      <c r="E344" s="73"/>
      <c r="F344" s="73"/>
      <c r="G344" s="73"/>
      <c r="H344" s="73"/>
      <c r="I344" s="73"/>
      <c r="J344" s="73"/>
      <c r="K344" s="73"/>
      <c r="L344" s="73"/>
      <c r="M344" s="191"/>
      <c r="N344" s="191"/>
      <c r="O344" s="74"/>
      <c r="P344" s="74"/>
      <c r="Q344" s="74"/>
      <c r="R344" s="191"/>
      <c r="S344" s="74"/>
      <c r="T344" s="74"/>
      <c r="U344" s="74"/>
      <c r="V344" s="52"/>
      <c r="W344" s="52"/>
      <c r="X344" s="52"/>
      <c r="Y344" s="52"/>
      <c r="Z344" s="22"/>
      <c r="AA344" s="52"/>
      <c r="AB344" s="22"/>
      <c r="AC344" s="52"/>
      <c r="AD344" s="22">
        <v>19.89</v>
      </c>
      <c r="AE344" s="22">
        <f>+IF(AC344=0,,AF344/AC344*100)</f>
        <v>0</v>
      </c>
      <c r="AF344" s="22">
        <v>19.89</v>
      </c>
      <c r="AG344" s="22">
        <f t="shared" si="1258"/>
        <v>100</v>
      </c>
      <c r="AH344" s="52"/>
      <c r="AI344" s="52"/>
      <c r="AJ344" s="52"/>
      <c r="AK344" s="52"/>
      <c r="AL344" s="22"/>
      <c r="AM344" s="52"/>
      <c r="AN344" s="22"/>
      <c r="AO344" s="22"/>
      <c r="AP344" s="22"/>
      <c r="AQ344" s="22"/>
      <c r="AR344" s="22">
        <v>12.5</v>
      </c>
      <c r="AS344" s="22">
        <f>+IF(AQ344=0,,AT344/AQ344*100)</f>
        <v>0</v>
      </c>
      <c r="AT344" s="22">
        <v>13.83</v>
      </c>
      <c r="AU344" s="22">
        <f t="shared" ref="AU344:AU369" si="1324">+IF(AR344=0,,AT344/AR344*100)</f>
        <v>110.64</v>
      </c>
      <c r="AV344" s="77"/>
      <c r="AW344" s="77"/>
      <c r="AX344" s="239"/>
      <c r="AY344" s="22">
        <f t="shared" si="1240"/>
        <v>1.8939999999999997</v>
      </c>
      <c r="AZ344" s="22"/>
      <c r="BA344" s="22"/>
      <c r="BB344" s="22">
        <f>+[4]БПр!$P$486/1000</f>
        <v>1.8939999999999997</v>
      </c>
      <c r="BC344" s="22">
        <v>19.89</v>
      </c>
      <c r="BD344" s="22">
        <v>20.079999999999998</v>
      </c>
      <c r="BE344" s="22">
        <f t="shared" si="1241"/>
        <v>100.95525389643036</v>
      </c>
      <c r="BF344" s="22"/>
      <c r="BG344" s="22"/>
      <c r="BH344" s="22">
        <f t="shared" si="1242"/>
        <v>0</v>
      </c>
      <c r="BI344" s="22"/>
      <c r="BJ344" s="239"/>
      <c r="BK344" s="19"/>
      <c r="BL344" s="19"/>
      <c r="BM344" s="19"/>
      <c r="BN344" s="19"/>
      <c r="BO344" s="19"/>
      <c r="BP344" s="19"/>
      <c r="BQ344" s="19"/>
      <c r="BR344" s="19"/>
      <c r="BS344" s="19"/>
      <c r="BT344" s="19"/>
      <c r="BU344" s="19"/>
      <c r="BV344" s="19"/>
      <c r="BW344" s="19"/>
      <c r="BX344" s="19"/>
      <c r="BY344" s="19"/>
      <c r="BZ344" s="19"/>
      <c r="CA344" s="19"/>
      <c r="CB344" s="19"/>
      <c r="CC344" s="19"/>
      <c r="CD344" s="19"/>
      <c r="CE344" s="48"/>
      <c r="CF344" s="48"/>
      <c r="CG344" s="48"/>
      <c r="CH344" s="48"/>
      <c r="CI344" s="48"/>
      <c r="CJ344" s="48"/>
      <c r="CK344" s="48"/>
      <c r="CL344" s="48"/>
      <c r="CM344" s="48"/>
      <c r="CN344" s="48"/>
      <c r="CO344" s="48"/>
      <c r="CP344" s="48"/>
      <c r="CQ344" s="48"/>
      <c r="CR344" s="48"/>
      <c r="CS344" s="48"/>
      <c r="CT344" s="48"/>
      <c r="CU344" s="48"/>
      <c r="CV344" s="48"/>
      <c r="CW344" s="19"/>
      <c r="CX344" s="19"/>
      <c r="CY344" s="19"/>
      <c r="CZ344" s="19"/>
      <c r="DA344" s="21"/>
      <c r="DB344" s="21"/>
      <c r="DC344" s="79"/>
      <c r="DD344" s="79"/>
      <c r="DE344" s="79"/>
      <c r="DF344" s="79"/>
      <c r="DG344" s="79"/>
      <c r="DH344" s="51"/>
      <c r="DI344" s="39"/>
      <c r="DJ344" s="80"/>
      <c r="DK344" s="39"/>
      <c r="DL344" s="39"/>
      <c r="DM344" s="48"/>
      <c r="DN344" s="39"/>
      <c r="DO344" s="39"/>
      <c r="DP344" s="39"/>
      <c r="DQ344" s="39"/>
      <c r="DR344" s="39"/>
      <c r="DS344" s="19">
        <f>+BD344*1.18</f>
        <v>23.694399999999998</v>
      </c>
      <c r="DT344" s="39"/>
      <c r="DU344" s="19">
        <f t="shared" si="1251"/>
        <v>0</v>
      </c>
      <c r="DV344" s="40">
        <f t="shared" si="1259"/>
        <v>0</v>
      </c>
      <c r="DW344" s="40">
        <f t="shared" si="1260"/>
        <v>0</v>
      </c>
      <c r="DX344" s="21">
        <f>+'[1]тарифы (НВВ) население на 4,2%'!CO440</f>
        <v>70.219149266341375</v>
      </c>
      <c r="DY344" s="21">
        <f t="shared" si="1252"/>
        <v>0</v>
      </c>
      <c r="DZ344" s="19">
        <f t="shared" si="1253"/>
        <v>3.7671659999999996E-2</v>
      </c>
      <c r="EA344" s="19">
        <f t="shared" si="1254"/>
        <v>3.8031519999999992E-2</v>
      </c>
      <c r="EB344" s="19"/>
      <c r="EC344" s="48">
        <f t="shared" si="1313"/>
        <v>0</v>
      </c>
      <c r="ED344" s="48">
        <f t="shared" si="1314"/>
        <v>0</v>
      </c>
      <c r="EE344" s="22">
        <v>20.079999999999998</v>
      </c>
      <c r="EF344" s="22">
        <v>21.28</v>
      </c>
      <c r="EG344" s="22">
        <f t="shared" ref="EG344:EG370" si="1325">+IF(EE344=0,,EF344/EE344*100)</f>
        <v>105.97609561752989</v>
      </c>
      <c r="EH344" s="22"/>
      <c r="EI344" s="22"/>
      <c r="EJ344" s="22">
        <f t="shared" ref="EJ344:EJ370" si="1326">+IF(EH344=0,,EI344/EH344*100)</f>
        <v>0</v>
      </c>
      <c r="EK344" s="239"/>
      <c r="EL344" s="19">
        <v>3.3</v>
      </c>
      <c r="EM344" s="19"/>
      <c r="EN344" s="40">
        <f t="shared" si="1315"/>
        <v>0</v>
      </c>
      <c r="EO344" s="40">
        <f t="shared" si="1316"/>
        <v>0</v>
      </c>
      <c r="EP344" s="40"/>
      <c r="EQ344" s="21">
        <f t="shared" si="1317"/>
        <v>0</v>
      </c>
      <c r="ER344" s="21"/>
      <c r="ES344" s="21">
        <f t="shared" si="1318"/>
        <v>66.263999999999996</v>
      </c>
      <c r="ET344" s="21"/>
      <c r="EU344" s="19">
        <f t="shared" si="1319"/>
        <v>70.224000000000004</v>
      </c>
      <c r="EV344" s="21"/>
      <c r="EW344" s="39"/>
      <c r="EX344" s="39">
        <f t="shared" si="1323"/>
        <v>38.031519999999993</v>
      </c>
      <c r="EY344" s="39">
        <f t="shared" si="1303"/>
        <v>40.304319999999997</v>
      </c>
      <c r="EZ344" s="39"/>
      <c r="FA344" s="39"/>
      <c r="FB344" s="39"/>
      <c r="FC344" s="39"/>
      <c r="FD344" s="39"/>
      <c r="FE344" s="39"/>
      <c r="FF344" s="39"/>
      <c r="FG344" s="39"/>
      <c r="FH344" s="39"/>
      <c r="FI344" s="39"/>
      <c r="FJ344" s="19">
        <f t="shared" si="1320"/>
        <v>0</v>
      </c>
      <c r="FK344" s="19">
        <f t="shared" si="1321"/>
        <v>0</v>
      </c>
      <c r="FL344" s="19">
        <f t="shared" si="1322"/>
        <v>0</v>
      </c>
      <c r="FM344" s="19">
        <v>3.7869999999999999</v>
      </c>
      <c r="FN344" s="19"/>
      <c r="FO344" s="22">
        <v>30.09</v>
      </c>
      <c r="FP344" s="22">
        <v>30.69</v>
      </c>
      <c r="FQ344" s="22"/>
      <c r="FR344" s="22" t="s">
        <v>633</v>
      </c>
      <c r="FS344" s="22" t="s">
        <v>633</v>
      </c>
      <c r="FT344" s="22"/>
      <c r="FU344" s="239"/>
      <c r="FV344" s="19"/>
      <c r="FW344" s="19"/>
      <c r="FX344" s="19"/>
      <c r="FY344" s="19"/>
      <c r="FZ344" s="19"/>
      <c r="GA344" s="19"/>
      <c r="GB344" s="19"/>
      <c r="GC344" s="20"/>
      <c r="GD344" s="20"/>
      <c r="GE344" s="21"/>
      <c r="GF344" s="21"/>
      <c r="GG344" s="21"/>
      <c r="GH344" s="21"/>
      <c r="GI344" s="21"/>
      <c r="GJ344" s="21"/>
      <c r="GK344" s="21"/>
      <c r="GL344" s="21"/>
      <c r="GM344" s="19"/>
      <c r="GN344" s="19"/>
      <c r="GO344" s="22">
        <v>30.7</v>
      </c>
      <c r="GP344" s="22">
        <v>31.64</v>
      </c>
      <c r="GQ344" s="22"/>
      <c r="GR344" s="22" t="s">
        <v>633</v>
      </c>
      <c r="GS344" s="22" t="s">
        <v>633</v>
      </c>
      <c r="GT344" s="22"/>
      <c r="GU344" s="239"/>
      <c r="GV344" s="19"/>
      <c r="GW344" s="19"/>
      <c r="GX344" s="19"/>
      <c r="GY344" s="19"/>
      <c r="GZ344" s="23"/>
      <c r="HA344" s="22">
        <v>31.64</v>
      </c>
      <c r="HB344" s="22">
        <v>32.520000000000003</v>
      </c>
      <c r="HC344" s="22"/>
      <c r="HD344" s="22" t="s">
        <v>633</v>
      </c>
      <c r="HE344" s="22" t="s">
        <v>633</v>
      </c>
      <c r="HF344" s="22"/>
      <c r="HG344" s="239"/>
    </row>
    <row r="345" spans="2:215" ht="15.75">
      <c r="B345" s="10"/>
      <c r="C345" s="184" t="s">
        <v>186</v>
      </c>
      <c r="D345" s="73"/>
      <c r="E345" s="73"/>
      <c r="F345" s="73"/>
      <c r="G345" s="73"/>
      <c r="H345" s="73"/>
      <c r="I345" s="73"/>
      <c r="J345" s="73"/>
      <c r="K345" s="73"/>
      <c r="L345" s="73"/>
      <c r="M345" s="191"/>
      <c r="N345" s="191"/>
      <c r="O345" s="74"/>
      <c r="P345" s="74"/>
      <c r="Q345" s="74"/>
      <c r="R345" s="191"/>
      <c r="S345" s="74"/>
      <c r="T345" s="74"/>
      <c r="U345" s="74"/>
      <c r="V345" s="52"/>
      <c r="W345" s="52"/>
      <c r="X345" s="52"/>
      <c r="Y345" s="52"/>
      <c r="Z345" s="22"/>
      <c r="AA345" s="52"/>
      <c r="AB345" s="22"/>
      <c r="AC345" s="52"/>
      <c r="AD345" s="22">
        <v>9.7899999999999991</v>
      </c>
      <c r="AE345" s="22"/>
      <c r="AF345" s="22">
        <v>9.7899999999999991</v>
      </c>
      <c r="AG345" s="22">
        <f t="shared" si="1258"/>
        <v>100</v>
      </c>
      <c r="AH345" s="52"/>
      <c r="AI345" s="52"/>
      <c r="AJ345" s="52"/>
      <c r="AK345" s="52"/>
      <c r="AL345" s="22"/>
      <c r="AM345" s="52"/>
      <c r="AN345" s="22"/>
      <c r="AO345" s="22"/>
      <c r="AP345" s="22"/>
      <c r="AQ345" s="22"/>
      <c r="AR345" s="22"/>
      <c r="AS345" s="22"/>
      <c r="AT345" s="22"/>
      <c r="AU345" s="22">
        <f t="shared" si="1324"/>
        <v>0</v>
      </c>
      <c r="AV345" s="77"/>
      <c r="AW345" s="77"/>
      <c r="AX345" s="78"/>
      <c r="AY345" s="22">
        <f t="shared" si="1240"/>
        <v>45.892000000000003</v>
      </c>
      <c r="AZ345" s="22"/>
      <c r="BA345" s="22"/>
      <c r="BB345" s="22">
        <f>+[3]БПр!$AD$284/1000</f>
        <v>45.892000000000003</v>
      </c>
      <c r="BC345" s="22">
        <v>11.97</v>
      </c>
      <c r="BD345" s="22">
        <v>12.54</v>
      </c>
      <c r="BE345" s="22">
        <f t="shared" si="1241"/>
        <v>104.76190476190474</v>
      </c>
      <c r="BF345" s="22"/>
      <c r="BG345" s="22"/>
      <c r="BH345" s="22">
        <f t="shared" si="1242"/>
        <v>0</v>
      </c>
      <c r="BI345" s="22"/>
      <c r="BJ345" s="40"/>
      <c r="BK345" s="19"/>
      <c r="BL345" s="19"/>
      <c r="BM345" s="19"/>
      <c r="BN345" s="19"/>
      <c r="BO345" s="19"/>
      <c r="BP345" s="19"/>
      <c r="BQ345" s="19"/>
      <c r="BR345" s="19"/>
      <c r="BS345" s="19"/>
      <c r="BT345" s="19"/>
      <c r="BU345" s="19"/>
      <c r="BV345" s="19"/>
      <c r="BW345" s="19"/>
      <c r="BX345" s="19"/>
      <c r="BY345" s="19"/>
      <c r="BZ345" s="19"/>
      <c r="CA345" s="19"/>
      <c r="CB345" s="19"/>
      <c r="CC345" s="19"/>
      <c r="CD345" s="19"/>
      <c r="CE345" s="48"/>
      <c r="CF345" s="48"/>
      <c r="CG345" s="48"/>
      <c r="CH345" s="48"/>
      <c r="CI345" s="48"/>
      <c r="CJ345" s="48"/>
      <c r="CK345" s="48"/>
      <c r="CL345" s="48"/>
      <c r="CM345" s="48"/>
      <c r="CN345" s="48"/>
      <c r="CO345" s="48"/>
      <c r="CP345" s="48"/>
      <c r="CQ345" s="48"/>
      <c r="CR345" s="48"/>
      <c r="CS345" s="48"/>
      <c r="CT345" s="48"/>
      <c r="CU345" s="48"/>
      <c r="CV345" s="48"/>
      <c r="CW345" s="19"/>
      <c r="CX345" s="19"/>
      <c r="CY345" s="19"/>
      <c r="CZ345" s="19"/>
      <c r="DA345" s="21"/>
      <c r="DB345" s="21"/>
      <c r="DC345" s="79"/>
      <c r="DD345" s="79"/>
      <c r="DE345" s="79"/>
      <c r="DF345" s="79"/>
      <c r="DG345" s="79"/>
      <c r="DH345" s="51"/>
      <c r="DI345" s="39"/>
      <c r="DJ345" s="80"/>
      <c r="DK345" s="39"/>
      <c r="DL345" s="39"/>
      <c r="DM345" s="48"/>
      <c r="DN345" s="39"/>
      <c r="DO345" s="39"/>
      <c r="DP345" s="39"/>
      <c r="DQ345" s="39"/>
      <c r="DR345" s="39"/>
      <c r="DS345" s="19">
        <f>+BD345*1.18</f>
        <v>14.797199999999998</v>
      </c>
      <c r="DT345" s="39"/>
      <c r="DU345" s="19">
        <f t="shared" si="1251"/>
        <v>0</v>
      </c>
      <c r="DV345" s="40">
        <f t="shared" si="1259"/>
        <v>0</v>
      </c>
      <c r="DW345" s="40">
        <f t="shared" si="1260"/>
        <v>0</v>
      </c>
      <c r="DX345" s="46"/>
      <c r="DY345" s="21">
        <f t="shared" ref="DY345:DY370" si="1327">+IF(DW345=0,,DV345/DW345*100)</f>
        <v>0</v>
      </c>
      <c r="DZ345" s="19">
        <f t="shared" si="1253"/>
        <v>0.54932724000000011</v>
      </c>
      <c r="EA345" s="19">
        <f t="shared" si="1254"/>
        <v>0.57548568</v>
      </c>
      <c r="EB345" s="19"/>
      <c r="EC345" s="48">
        <f t="shared" si="1313"/>
        <v>0</v>
      </c>
      <c r="ED345" s="48">
        <f t="shared" si="1314"/>
        <v>0</v>
      </c>
      <c r="EE345" s="22">
        <v>12.54</v>
      </c>
      <c r="EF345" s="22">
        <v>13.29</v>
      </c>
      <c r="EG345" s="22">
        <f t="shared" si="1325"/>
        <v>105.98086124401914</v>
      </c>
      <c r="EH345" s="22"/>
      <c r="EI345" s="22"/>
      <c r="EJ345" s="22">
        <f t="shared" si="1326"/>
        <v>0</v>
      </c>
      <c r="EK345" s="239"/>
      <c r="EL345" s="19">
        <v>33.71</v>
      </c>
      <c r="EM345" s="19"/>
      <c r="EN345" s="40">
        <f t="shared" si="1315"/>
        <v>0</v>
      </c>
      <c r="EO345" s="40">
        <f t="shared" si="1316"/>
        <v>0</v>
      </c>
      <c r="EP345" s="40"/>
      <c r="EQ345" s="21">
        <f t="shared" si="1317"/>
        <v>0</v>
      </c>
      <c r="ER345" s="21"/>
      <c r="ES345" s="21">
        <f t="shared" si="1318"/>
        <v>422.72339999999997</v>
      </c>
      <c r="ET345" s="21"/>
      <c r="EU345" s="19">
        <f t="shared" si="1319"/>
        <v>448.0059</v>
      </c>
      <c r="EV345" s="21"/>
      <c r="EW345" s="39"/>
      <c r="EX345" s="39">
        <f t="shared" si="1323"/>
        <v>575.48568</v>
      </c>
      <c r="EY345" s="39">
        <f t="shared" si="1303"/>
        <v>609.90467999999998</v>
      </c>
      <c r="EZ345" s="39"/>
      <c r="FA345" s="39"/>
      <c r="FB345" s="39"/>
      <c r="FC345" s="39"/>
      <c r="FD345" s="39"/>
      <c r="FE345" s="39"/>
      <c r="FF345" s="39"/>
      <c r="FG345" s="39"/>
      <c r="FH345" s="39"/>
      <c r="FI345" s="39"/>
      <c r="FJ345" s="19">
        <f t="shared" si="1320"/>
        <v>0</v>
      </c>
      <c r="FK345" s="19">
        <f t="shared" si="1321"/>
        <v>0</v>
      </c>
      <c r="FL345" s="19">
        <f t="shared" si="1322"/>
        <v>0</v>
      </c>
      <c r="FM345" s="19">
        <v>33.375999999999998</v>
      </c>
      <c r="FN345" s="19"/>
      <c r="FO345" s="22">
        <v>7.25</v>
      </c>
      <c r="FP345" s="22">
        <v>8.2899999999999991</v>
      </c>
      <c r="FQ345" s="22"/>
      <c r="FR345" s="22" t="s">
        <v>633</v>
      </c>
      <c r="FS345" s="22" t="s">
        <v>633</v>
      </c>
      <c r="FT345" s="22"/>
      <c r="FU345" s="239"/>
      <c r="FV345" s="19"/>
      <c r="FW345" s="19"/>
      <c r="FX345" s="19"/>
      <c r="FY345" s="19"/>
      <c r="FZ345" s="19"/>
      <c r="GA345" s="19"/>
      <c r="GB345" s="19"/>
      <c r="GC345" s="20"/>
      <c r="GD345" s="20"/>
      <c r="GE345" s="21"/>
      <c r="GF345" s="21"/>
      <c r="GG345" s="21"/>
      <c r="GH345" s="21"/>
      <c r="GI345" s="21"/>
      <c r="GJ345" s="21"/>
      <c r="GK345" s="21"/>
      <c r="GL345" s="21"/>
      <c r="GM345" s="19"/>
      <c r="GN345" s="19"/>
      <c r="GO345" s="22">
        <v>8.2899999999999991</v>
      </c>
      <c r="GP345" s="22">
        <v>8.6199999999999992</v>
      </c>
      <c r="GQ345" s="22"/>
      <c r="GR345" s="22" t="s">
        <v>633</v>
      </c>
      <c r="GS345" s="22" t="s">
        <v>633</v>
      </c>
      <c r="GT345" s="22"/>
      <c r="GU345" s="239"/>
      <c r="GV345" s="19"/>
      <c r="GW345" s="19"/>
      <c r="GX345" s="19"/>
      <c r="GY345" s="19"/>
      <c r="GZ345" s="23"/>
      <c r="HA345" s="22">
        <v>8.6199999999999992</v>
      </c>
      <c r="HB345" s="22">
        <v>8.93</v>
      </c>
      <c r="HC345" s="22"/>
      <c r="HD345" s="22" t="s">
        <v>633</v>
      </c>
      <c r="HE345" s="22" t="s">
        <v>633</v>
      </c>
      <c r="HF345" s="22"/>
      <c r="HG345" s="239"/>
    </row>
    <row r="346" spans="2:215" ht="15.75">
      <c r="B346" s="15"/>
      <c r="C346" s="81" t="s">
        <v>634</v>
      </c>
      <c r="D346" s="73"/>
      <c r="E346" s="73"/>
      <c r="F346" s="73"/>
      <c r="G346" s="73"/>
      <c r="H346" s="73"/>
      <c r="I346" s="73"/>
      <c r="J346" s="73"/>
      <c r="K346" s="73"/>
      <c r="L346" s="73"/>
      <c r="M346" s="191"/>
      <c r="N346" s="191"/>
      <c r="O346" s="74"/>
      <c r="P346" s="74"/>
      <c r="Q346" s="74"/>
      <c r="R346" s="191"/>
      <c r="S346" s="74"/>
      <c r="T346" s="74"/>
      <c r="U346" s="74"/>
      <c r="V346" s="52"/>
      <c r="W346" s="52"/>
      <c r="X346" s="52"/>
      <c r="Y346" s="52"/>
      <c r="Z346" s="22"/>
      <c r="AA346" s="52"/>
      <c r="AB346" s="22"/>
      <c r="AC346" s="52"/>
      <c r="AD346" s="22"/>
      <c r="AE346" s="22"/>
      <c r="AF346" s="22"/>
      <c r="AG346" s="22"/>
      <c r="AH346" s="52"/>
      <c r="AI346" s="52"/>
      <c r="AJ346" s="52"/>
      <c r="AK346" s="52"/>
      <c r="AL346" s="22"/>
      <c r="AM346" s="52"/>
      <c r="AN346" s="22"/>
      <c r="AO346" s="22"/>
      <c r="AP346" s="22"/>
      <c r="AQ346" s="22"/>
      <c r="AR346" s="22"/>
      <c r="AS346" s="22"/>
      <c r="AT346" s="22"/>
      <c r="AU346" s="22"/>
      <c r="AV346" s="77"/>
      <c r="AW346" s="77"/>
      <c r="AX346" s="78"/>
      <c r="AY346" s="22"/>
      <c r="AZ346" s="22"/>
      <c r="BA346" s="22"/>
      <c r="BB346" s="22"/>
      <c r="BC346" s="22"/>
      <c r="BD346" s="22"/>
      <c r="BE346" s="22"/>
      <c r="BF346" s="22"/>
      <c r="BG346" s="22"/>
      <c r="BH346" s="22"/>
      <c r="BI346" s="22"/>
      <c r="BJ346" s="40"/>
      <c r="BK346" s="19"/>
      <c r="BL346" s="19"/>
      <c r="BM346" s="19"/>
      <c r="BN346" s="19"/>
      <c r="BO346" s="19"/>
      <c r="BP346" s="19"/>
      <c r="BQ346" s="19"/>
      <c r="BR346" s="19"/>
      <c r="BS346" s="19"/>
      <c r="BT346" s="19"/>
      <c r="BU346" s="19"/>
      <c r="BV346" s="19"/>
      <c r="BW346" s="19"/>
      <c r="BX346" s="19"/>
      <c r="BY346" s="19"/>
      <c r="BZ346" s="19"/>
      <c r="CA346" s="19"/>
      <c r="CB346" s="19"/>
      <c r="CC346" s="19"/>
      <c r="CD346" s="19"/>
      <c r="CE346" s="48"/>
      <c r="CF346" s="48"/>
      <c r="CG346" s="48"/>
      <c r="CH346" s="48"/>
      <c r="CI346" s="48"/>
      <c r="CJ346" s="48"/>
      <c r="CK346" s="48"/>
      <c r="CL346" s="48"/>
      <c r="CM346" s="48"/>
      <c r="CN346" s="48"/>
      <c r="CO346" s="48"/>
      <c r="CP346" s="48"/>
      <c r="CQ346" s="48"/>
      <c r="CR346" s="48"/>
      <c r="CS346" s="48"/>
      <c r="CT346" s="48"/>
      <c r="CU346" s="48"/>
      <c r="CV346" s="48"/>
      <c r="CW346" s="19"/>
      <c r="CX346" s="19"/>
      <c r="CY346" s="19"/>
      <c r="CZ346" s="19"/>
      <c r="DA346" s="21"/>
      <c r="DB346" s="21"/>
      <c r="DC346" s="79"/>
      <c r="DD346" s="79"/>
      <c r="DE346" s="79"/>
      <c r="DF346" s="79"/>
      <c r="DG346" s="79"/>
      <c r="DH346" s="51"/>
      <c r="DI346" s="39"/>
      <c r="DJ346" s="80"/>
      <c r="DK346" s="39"/>
      <c r="DL346" s="39"/>
      <c r="DM346" s="48"/>
      <c r="DN346" s="39"/>
      <c r="DO346" s="39"/>
      <c r="DP346" s="39"/>
      <c r="DQ346" s="39"/>
      <c r="DR346" s="39"/>
      <c r="DS346" s="19"/>
      <c r="DT346" s="39"/>
      <c r="DU346" s="19"/>
      <c r="DV346" s="40"/>
      <c r="DW346" s="40"/>
      <c r="DX346" s="46"/>
      <c r="DY346" s="21"/>
      <c r="DZ346" s="19"/>
      <c r="EA346" s="19"/>
      <c r="EB346" s="19"/>
      <c r="EC346" s="48"/>
      <c r="ED346" s="48"/>
      <c r="EE346" s="22"/>
      <c r="EF346" s="22"/>
      <c r="EG346" s="22"/>
      <c r="EH346" s="22"/>
      <c r="EI346" s="22"/>
      <c r="EJ346" s="22"/>
      <c r="EK346" s="78"/>
      <c r="EL346" s="19"/>
      <c r="EM346" s="19"/>
      <c r="EN346" s="40"/>
      <c r="EO346" s="40"/>
      <c r="EP346" s="40"/>
      <c r="EQ346" s="21"/>
      <c r="ER346" s="21"/>
      <c r="ES346" s="21"/>
      <c r="ET346" s="21"/>
      <c r="EU346" s="19"/>
      <c r="EV346" s="21"/>
      <c r="EW346" s="39"/>
      <c r="EX346" s="39"/>
      <c r="EY346" s="39"/>
      <c r="EZ346" s="39"/>
      <c r="FA346" s="39"/>
      <c r="FB346" s="39"/>
      <c r="FC346" s="39"/>
      <c r="FD346" s="39"/>
      <c r="FE346" s="39"/>
      <c r="FF346" s="39"/>
      <c r="FG346" s="39"/>
      <c r="FH346" s="39"/>
      <c r="FI346" s="39"/>
      <c r="FJ346" s="19"/>
      <c r="FK346" s="19"/>
      <c r="FL346" s="19"/>
      <c r="FM346" s="19"/>
      <c r="FN346" s="19"/>
      <c r="FO346" s="22"/>
      <c r="FP346" s="22"/>
      <c r="FQ346" s="22"/>
      <c r="FR346" s="22"/>
      <c r="FS346" s="22"/>
      <c r="FT346" s="22"/>
      <c r="FU346" s="78"/>
      <c r="FV346" s="19"/>
      <c r="FW346" s="19"/>
      <c r="FX346" s="19"/>
      <c r="FY346" s="19"/>
      <c r="FZ346" s="19"/>
      <c r="GA346" s="19"/>
      <c r="GB346" s="19"/>
      <c r="GC346" s="20"/>
      <c r="GD346" s="20"/>
      <c r="GE346" s="21"/>
      <c r="GF346" s="21"/>
      <c r="GG346" s="21"/>
      <c r="GH346" s="21"/>
      <c r="GI346" s="21"/>
      <c r="GJ346" s="21"/>
      <c r="GK346" s="21"/>
      <c r="GL346" s="21"/>
      <c r="GM346" s="19"/>
      <c r="GN346" s="19"/>
      <c r="GO346" s="22"/>
      <c r="GP346" s="22"/>
      <c r="GQ346" s="22"/>
      <c r="GR346" s="22"/>
      <c r="GS346" s="22"/>
      <c r="GT346" s="22"/>
      <c r="GU346" s="78"/>
      <c r="GV346" s="19"/>
      <c r="GW346" s="19"/>
      <c r="GX346" s="19"/>
      <c r="GY346" s="19"/>
      <c r="GZ346" s="23"/>
      <c r="HA346" s="22"/>
      <c r="HB346" s="22"/>
      <c r="HC346" s="22"/>
      <c r="HD346" s="22"/>
      <c r="HE346" s="22"/>
      <c r="HF346" s="22"/>
      <c r="HG346" s="234"/>
    </row>
    <row r="347" spans="2:215" ht="16.149999999999999" customHeight="1" thickBot="1">
      <c r="B347" s="15"/>
      <c r="C347" s="184" t="s">
        <v>635</v>
      </c>
      <c r="D347" s="173"/>
      <c r="E347" s="173"/>
      <c r="F347" s="74"/>
      <c r="G347" s="74"/>
      <c r="H347" s="74"/>
      <c r="I347" s="173"/>
      <c r="J347" s="173"/>
      <c r="K347" s="173"/>
      <c r="L347" s="173"/>
      <c r="M347" s="173"/>
      <c r="N347" s="173"/>
      <c r="O347" s="76"/>
      <c r="P347" s="76"/>
      <c r="Q347" s="76"/>
      <c r="R347" s="173"/>
      <c r="S347" s="173"/>
      <c r="T347" s="173"/>
      <c r="U347" s="173"/>
      <c r="V347" s="52"/>
      <c r="W347" s="52"/>
      <c r="X347" s="52"/>
      <c r="Y347" s="52"/>
      <c r="Z347" s="22"/>
      <c r="AA347" s="52"/>
      <c r="AB347" s="22"/>
      <c r="AC347" s="22"/>
      <c r="AD347" s="22"/>
      <c r="AE347" s="22"/>
      <c r="AF347" s="22"/>
      <c r="AG347" s="22"/>
      <c r="AH347" s="22"/>
      <c r="AI347" s="22"/>
      <c r="AJ347" s="52"/>
      <c r="AK347" s="22"/>
      <c r="AL347" s="22"/>
      <c r="AM347" s="22"/>
      <c r="AN347" s="22"/>
      <c r="AO347" s="22"/>
      <c r="AP347" s="22"/>
      <c r="AQ347" s="22"/>
      <c r="AR347" s="22"/>
      <c r="AS347" s="22"/>
      <c r="AT347" s="22"/>
      <c r="AU347" s="22"/>
      <c r="AV347" s="77"/>
      <c r="AW347" s="77"/>
      <c r="AX347" s="78"/>
      <c r="AY347" s="22"/>
      <c r="AZ347" s="22"/>
      <c r="BA347" s="22"/>
      <c r="BB347" s="22"/>
      <c r="BC347" s="22"/>
      <c r="BD347" s="22"/>
      <c r="BE347" s="22"/>
      <c r="BF347" s="22"/>
      <c r="BG347" s="22"/>
      <c r="BH347" s="22"/>
      <c r="BI347" s="22"/>
      <c r="BJ347" s="40"/>
      <c r="BK347" s="19"/>
      <c r="BL347" s="19"/>
      <c r="BM347" s="19"/>
      <c r="BN347" s="19"/>
      <c r="BO347" s="19"/>
      <c r="BP347" s="19"/>
      <c r="BQ347" s="19"/>
      <c r="BR347" s="19"/>
      <c r="BS347" s="19"/>
      <c r="BT347" s="19"/>
      <c r="BU347" s="19"/>
      <c r="BV347" s="19"/>
      <c r="BW347" s="19"/>
      <c r="BX347" s="19"/>
      <c r="BY347" s="19"/>
      <c r="BZ347" s="19"/>
      <c r="CA347" s="19"/>
      <c r="CB347" s="19"/>
      <c r="CC347" s="19"/>
      <c r="CD347" s="19"/>
      <c r="CE347" s="48"/>
      <c r="CF347" s="48"/>
      <c r="CG347" s="48"/>
      <c r="CH347" s="48"/>
      <c r="CI347" s="48"/>
      <c r="CJ347" s="48"/>
      <c r="CK347" s="48"/>
      <c r="CL347" s="48"/>
      <c r="CM347" s="48"/>
      <c r="CN347" s="48"/>
      <c r="CO347" s="48"/>
      <c r="CP347" s="48"/>
      <c r="CQ347" s="48"/>
      <c r="CR347" s="48"/>
      <c r="CS347" s="48"/>
      <c r="CT347" s="48"/>
      <c r="CU347" s="48"/>
      <c r="CV347" s="48"/>
      <c r="CW347" s="19"/>
      <c r="CX347" s="19"/>
      <c r="CY347" s="19"/>
      <c r="CZ347" s="19"/>
      <c r="DA347" s="21"/>
      <c r="DB347" s="21"/>
      <c r="DC347" s="79"/>
      <c r="DD347" s="79"/>
      <c r="DE347" s="79"/>
      <c r="DF347" s="79"/>
      <c r="DG347" s="79"/>
      <c r="DH347" s="51"/>
      <c r="DI347" s="39"/>
      <c r="DJ347" s="80"/>
      <c r="DK347" s="39"/>
      <c r="DL347" s="39"/>
      <c r="DM347" s="48"/>
      <c r="DN347" s="39"/>
      <c r="DO347" s="39"/>
      <c r="DP347" s="39"/>
      <c r="DQ347" s="39"/>
      <c r="DR347" s="39"/>
      <c r="DS347" s="39"/>
      <c r="DT347" s="39"/>
      <c r="DU347" s="19"/>
      <c r="DV347" s="40"/>
      <c r="DW347" s="40"/>
      <c r="DX347" s="21"/>
      <c r="DY347" s="21"/>
      <c r="DZ347" s="19"/>
      <c r="EA347" s="19"/>
      <c r="EB347" s="19"/>
      <c r="EC347" s="48"/>
      <c r="ED347" s="48"/>
      <c r="EE347" s="22"/>
      <c r="EF347" s="22"/>
      <c r="EG347" s="22"/>
      <c r="EH347" s="22"/>
      <c r="EI347" s="22"/>
      <c r="EJ347" s="22"/>
      <c r="EK347" s="83"/>
      <c r="EL347" s="19"/>
      <c r="EM347" s="19"/>
      <c r="EN347" s="40"/>
      <c r="EO347" s="40"/>
      <c r="EP347" s="40"/>
      <c r="EQ347" s="21"/>
      <c r="ER347" s="21"/>
      <c r="ES347" s="19"/>
      <c r="ET347" s="19"/>
      <c r="EU347" s="19"/>
      <c r="EV347" s="21"/>
      <c r="EW347" s="39"/>
      <c r="EX347" s="39"/>
      <c r="EY347" s="39"/>
      <c r="EZ347" s="39"/>
      <c r="FA347" s="39"/>
      <c r="FB347" s="39"/>
      <c r="FC347" s="39"/>
      <c r="FD347" s="39"/>
      <c r="FE347" s="39"/>
      <c r="FF347" s="39"/>
      <c r="FG347" s="39"/>
      <c r="FH347" s="39"/>
      <c r="FI347" s="39"/>
      <c r="FJ347" s="19"/>
      <c r="FK347" s="19"/>
      <c r="FL347" s="19"/>
      <c r="FM347" s="19"/>
      <c r="FN347" s="19"/>
      <c r="FO347" s="57">
        <v>326.68</v>
      </c>
      <c r="FP347" s="57">
        <v>365.9</v>
      </c>
      <c r="FQ347" s="57">
        <f t="shared" ref="FQ347" si="1328">+IF(FO347=0,,FP347/FO347*100)</f>
        <v>112.00563242316639</v>
      </c>
      <c r="FR347" s="57">
        <v>392.02</v>
      </c>
      <c r="FS347" s="57">
        <v>439.08</v>
      </c>
      <c r="FT347" s="57">
        <f t="shared" ref="FT347" si="1329">+IF(FR347=0,,FS347/FR347*100)</f>
        <v>112.00448956685885</v>
      </c>
      <c r="FU347" s="83" t="s">
        <v>625</v>
      </c>
      <c r="FV347" s="19"/>
      <c r="FW347" s="19"/>
      <c r="FX347" s="58"/>
      <c r="FY347" s="58"/>
      <c r="FZ347" s="58"/>
      <c r="GA347" s="19"/>
      <c r="GB347" s="19"/>
      <c r="GC347" s="20"/>
      <c r="GD347" s="20"/>
      <c r="GE347" s="19"/>
      <c r="GF347" s="19"/>
      <c r="GG347" s="19"/>
      <c r="GH347" s="19"/>
      <c r="GI347" s="19"/>
      <c r="GJ347" s="19"/>
      <c r="GK347" s="19"/>
      <c r="GL347" s="19"/>
      <c r="GM347" s="19"/>
      <c r="GN347" s="19"/>
      <c r="GO347" s="57">
        <v>365.9</v>
      </c>
      <c r="GP347" s="57">
        <v>622.91</v>
      </c>
      <c r="GQ347" s="57"/>
      <c r="GR347" s="57">
        <v>439.08</v>
      </c>
      <c r="GS347" s="57">
        <v>747.49</v>
      </c>
      <c r="GT347" s="57"/>
      <c r="GU347" s="83" t="s">
        <v>625</v>
      </c>
      <c r="GV347" s="19"/>
      <c r="GW347" s="19"/>
      <c r="GX347" s="19"/>
      <c r="GY347" s="19"/>
      <c r="GZ347" s="23"/>
      <c r="HA347" s="57">
        <v>622.91</v>
      </c>
      <c r="HB347" s="57">
        <v>460</v>
      </c>
      <c r="HC347" s="57"/>
      <c r="HD347" s="57">
        <v>747.49</v>
      </c>
      <c r="HE347" s="57">
        <v>552</v>
      </c>
      <c r="HF347" s="57"/>
      <c r="HG347" s="235" t="s">
        <v>625</v>
      </c>
    </row>
    <row r="348" spans="2:215" ht="15" customHeight="1" thickBot="1">
      <c r="B348" s="7" t="s">
        <v>124</v>
      </c>
      <c r="C348" s="80" t="s">
        <v>472</v>
      </c>
      <c r="D348" s="8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>
        <f t="shared" ref="X348:X359" si="1330">+IF(V348=0,,W348/V348*100)</f>
        <v>0</v>
      </c>
      <c r="Y348" s="80"/>
      <c r="Z348" s="80">
        <f t="shared" ref="Z348:Z392" si="1331">+IF(W348=0,,Y348/W348*100)</f>
        <v>0</v>
      </c>
      <c r="AA348" s="80"/>
      <c r="AB348" s="80">
        <f t="shared" ref="AB348:AB392" si="1332">+IF(Y348=0,,AA348/Y348*100)</f>
        <v>0</v>
      </c>
      <c r="AC348" s="80"/>
      <c r="AD348" s="80"/>
      <c r="AE348" s="80">
        <f t="shared" ref="AE348" si="1333">+IF(AC348=0,,AF348/AC348*100)</f>
        <v>0</v>
      </c>
      <c r="AF348" s="80"/>
      <c r="AG348" s="80">
        <f>+IF(AC348=0,,AF348/AC348*100)</f>
        <v>0</v>
      </c>
      <c r="AH348" s="80"/>
      <c r="AI348" s="80"/>
      <c r="AJ348" s="80">
        <f t="shared" ref="AJ348:AJ392" si="1334">+IF(AH348=0,,AI348/AH348*100)</f>
        <v>0</v>
      </c>
      <c r="AK348" s="80"/>
      <c r="AL348" s="80">
        <f t="shared" ref="AL348:AL392" si="1335">+IF(AI348=0,,AK348/AI348*100)</f>
        <v>0</v>
      </c>
      <c r="AM348" s="80"/>
      <c r="AN348" s="80">
        <f t="shared" ref="AN348:AN392" si="1336">+IF(AK348=0,,AM348/AK348*100)</f>
        <v>0</v>
      </c>
      <c r="AO348" s="80">
        <f t="shared" ref="AO348:AO359" si="1337">+IF(V348=0,,AA348/V348*100)</f>
        <v>0</v>
      </c>
      <c r="AP348" s="80">
        <f t="shared" ref="AP348:AP392" si="1338">+IF(AH348=0,,AM348/AH348*100)</f>
        <v>0</v>
      </c>
      <c r="AQ348" s="80"/>
      <c r="AR348" s="80"/>
      <c r="AS348" s="80">
        <f t="shared" ref="AS348" si="1339">+IF(AQ348=0,,AT348/AQ348*100)</f>
        <v>0</v>
      </c>
      <c r="AT348" s="80"/>
      <c r="AU348" s="80">
        <f>+IF(AQ348=0,,AT348/AQ348*100)</f>
        <v>0</v>
      </c>
      <c r="AV348" s="77"/>
      <c r="AW348" s="77">
        <f>+CY348/$CY$348*100</f>
        <v>100</v>
      </c>
      <c r="AX348" s="78"/>
      <c r="AY348" s="80">
        <f t="shared" ref="AY348:AY370" si="1340">+AZ348+BA348+BB348</f>
        <v>0</v>
      </c>
      <c r="AZ348" s="80"/>
      <c r="BA348" s="80"/>
      <c r="BB348" s="80"/>
      <c r="BC348" s="80"/>
      <c r="BD348" s="80"/>
      <c r="BE348" s="22">
        <f t="shared" ref="BE348:BE370" si="1341">+IF(BC348=0,,BD348/BC348*100)</f>
        <v>0</v>
      </c>
      <c r="BF348" s="80"/>
      <c r="BG348" s="80"/>
      <c r="BH348" s="22">
        <f t="shared" ref="BH348:BH370" si="1342">+IF(BF348=0,,BG348/BF348*100)</f>
        <v>0</v>
      </c>
      <c r="BI348" s="22"/>
      <c r="BJ348" s="40"/>
      <c r="BK348" s="52">
        <f t="shared" si="1268"/>
        <v>0</v>
      </c>
      <c r="BL348" s="52">
        <f t="shared" ref="BL348:BL375" si="1343">+E348*AI348/1.18/1000</f>
        <v>0</v>
      </c>
      <c r="BM348" s="52">
        <f t="shared" ref="BM348:BM375" si="1344">+(W348-ROUND(AI348/1.18,2))*E348/1000</f>
        <v>0</v>
      </c>
      <c r="BN348" s="52">
        <f t="shared" ref="BN348:BN375" si="1345">+W348*I348/1000</f>
        <v>0</v>
      </c>
      <c r="BO348" s="52">
        <f t="shared" si="1269"/>
        <v>0</v>
      </c>
      <c r="BP348" s="52">
        <f t="shared" ref="BP348:BP375" si="1346">+AK348/1.18*E348/1000</f>
        <v>0</v>
      </c>
      <c r="BQ348" s="52">
        <f t="shared" ref="BQ348:BQ375" si="1347">+(Y348-ROUND(AK348/1.18,2))*E348/1000</f>
        <v>0</v>
      </c>
      <c r="BR348" s="52">
        <f t="shared" ref="BR348:BR375" si="1348">+Y348*I348/1000</f>
        <v>0</v>
      </c>
      <c r="BS348" s="52">
        <f t="shared" si="1270"/>
        <v>0</v>
      </c>
      <c r="BT348" s="52">
        <f t="shared" ref="BT348:BT375" si="1349">+AM348/1.18*E348/1000</f>
        <v>0</v>
      </c>
      <c r="BU348" s="52">
        <f t="shared" ref="BU348:BU375" si="1350">+(AA348-ROUND(AM348/1.18,2))*E348/1000</f>
        <v>0</v>
      </c>
      <c r="BV348" s="52">
        <f t="shared" ref="BV348:BV375" si="1351">+AA348*I348/1000</f>
        <v>0</v>
      </c>
      <c r="BW348" s="52"/>
      <c r="BX348" s="22">
        <f>+SUM(BX349:BX361)</f>
        <v>3190.7426186440675</v>
      </c>
      <c r="BY348" s="22">
        <f>+SUM(BY349:BY361)</f>
        <v>0</v>
      </c>
      <c r="BZ348" s="52">
        <f>+AC348*R348/1000</f>
        <v>0</v>
      </c>
      <c r="CA348" s="52"/>
      <c r="CB348" s="22">
        <f>+SUM(CB349:CB361)</f>
        <v>3562.4468644067792</v>
      </c>
      <c r="CC348" s="22">
        <f>+SUM(CC349:CC361)</f>
        <v>0</v>
      </c>
      <c r="CD348" s="52">
        <f t="shared" si="1243"/>
        <v>0</v>
      </c>
      <c r="CE348" s="197">
        <f t="shared" si="1278"/>
        <v>0</v>
      </c>
      <c r="CF348" s="197">
        <f t="shared" si="1279"/>
        <v>0</v>
      </c>
      <c r="CG348" s="197">
        <f t="shared" si="1280"/>
        <v>0</v>
      </c>
      <c r="CH348" s="197">
        <f t="shared" si="1281"/>
        <v>0</v>
      </c>
      <c r="CI348" s="197">
        <f t="shared" si="1282"/>
        <v>0</v>
      </c>
      <c r="CJ348" s="197">
        <f t="shared" si="1283"/>
        <v>0</v>
      </c>
      <c r="CK348" s="197">
        <f t="shared" si="1284"/>
        <v>0</v>
      </c>
      <c r="CL348" s="197">
        <f t="shared" si="1285"/>
        <v>0</v>
      </c>
      <c r="CM348" s="197">
        <f t="shared" si="1286"/>
        <v>0</v>
      </c>
      <c r="CN348" s="197">
        <f t="shared" si="1244"/>
        <v>0</v>
      </c>
      <c r="CO348" s="197">
        <f t="shared" si="1287"/>
        <v>0</v>
      </c>
      <c r="CP348" s="197">
        <f t="shared" si="1288"/>
        <v>0</v>
      </c>
      <c r="CQ348" s="197">
        <f t="shared" si="1289"/>
        <v>0</v>
      </c>
      <c r="CR348" s="197">
        <f t="shared" si="1290"/>
        <v>0</v>
      </c>
      <c r="CS348" s="197">
        <f t="shared" si="1291"/>
        <v>0</v>
      </c>
      <c r="CT348" s="197">
        <f t="shared" si="1292"/>
        <v>0</v>
      </c>
      <c r="CU348" s="197">
        <f t="shared" si="1245"/>
        <v>0</v>
      </c>
      <c r="CV348" s="197">
        <f t="shared" si="1293"/>
        <v>0</v>
      </c>
      <c r="CW348" s="22">
        <f>+SUM(CW349:CW361)</f>
        <v>2994.4569741406785</v>
      </c>
      <c r="CX348" s="22">
        <f>+SUM(CX349:CX361)</f>
        <v>2994.4540176840001</v>
      </c>
      <c r="CY348" s="22">
        <f>+SUM(CY349:CY361)</f>
        <v>3343.290041105085</v>
      </c>
      <c r="CZ348" s="22">
        <f>+SUM(CZ349:CZ361)</f>
        <v>3343.2890055600001</v>
      </c>
      <c r="DA348" s="42">
        <f t="shared" si="1246"/>
        <v>100.00009873107622</v>
      </c>
      <c r="DB348" s="42">
        <f t="shared" si="1247"/>
        <v>100.00003097384291</v>
      </c>
      <c r="DC348" s="42">
        <f t="shared" si="1298"/>
        <v>111.64929300961191</v>
      </c>
      <c r="DD348" s="42">
        <f t="shared" si="1298"/>
        <v>111.64936866006042</v>
      </c>
      <c r="DE348" s="79">
        <f t="shared" ref="DE348:DF348" si="1352">+(O348+S348)*AC348/1000</f>
        <v>0</v>
      </c>
      <c r="DF348" s="79">
        <f t="shared" si="1352"/>
        <v>0</v>
      </c>
      <c r="DG348" s="79">
        <f t="shared" si="1249"/>
        <v>0</v>
      </c>
      <c r="DH348" s="51">
        <f t="shared" si="1250"/>
        <v>0</v>
      </c>
      <c r="DI348" s="39"/>
      <c r="DJ348" s="80">
        <f t="shared" si="1300"/>
        <v>0</v>
      </c>
      <c r="DK348" s="39">
        <f t="shared" si="1301"/>
        <v>0</v>
      </c>
      <c r="DL348" s="39">
        <f t="shared" si="1302"/>
        <v>0</v>
      </c>
      <c r="DM348" s="48">
        <f>+AT348-'[2]тарифы (12-13) население 15%'!AP438</f>
        <v>0</v>
      </c>
      <c r="DN348" s="39"/>
      <c r="DO348" s="39"/>
      <c r="DP348" s="39"/>
      <c r="DQ348" s="39"/>
      <c r="DR348" s="39"/>
      <c r="DS348" s="39"/>
      <c r="DT348" s="39"/>
      <c r="DU348" s="19">
        <f t="shared" ref="DU348:DU370" si="1353">+(BF348*AZ348)/1.18</f>
        <v>0</v>
      </c>
      <c r="DV348" s="42">
        <f>+SUM(DV349:DV361)</f>
        <v>79273.22234761517</v>
      </c>
      <c r="DW348" s="42">
        <f>+SUM(DW349:DW361)</f>
        <v>112191.99302527001</v>
      </c>
      <c r="DX348" s="42">
        <f>+'[1]тарифы (НВВ) население на 4,2%'!CO454</f>
        <v>83.72594061886511</v>
      </c>
      <c r="DY348" s="42">
        <f t="shared" si="1327"/>
        <v>70.658538287807886</v>
      </c>
      <c r="DZ348" s="19">
        <f t="shared" ref="DZ348:DZ370" si="1354">+BC348*AY348/1000</f>
        <v>0</v>
      </c>
      <c r="EA348" s="19">
        <f t="shared" ref="EA348:EA370" si="1355">+BD348*AY348/1000</f>
        <v>0</v>
      </c>
      <c r="EB348" s="19"/>
      <c r="EC348" s="22">
        <f>+SUM(EC349:EC361)</f>
        <v>32024.260212983056</v>
      </c>
      <c r="ED348" s="22">
        <f>+SUM(ED349:ED361)</f>
        <v>31968.585988511866</v>
      </c>
      <c r="EE348" s="80"/>
      <c r="EF348" s="80"/>
      <c r="EG348" s="22">
        <f t="shared" si="1325"/>
        <v>0</v>
      </c>
      <c r="EH348" s="80"/>
      <c r="EI348" s="80"/>
      <c r="EJ348" s="22">
        <f t="shared" si="1326"/>
        <v>0</v>
      </c>
      <c r="EK348" s="40"/>
      <c r="EL348" s="40"/>
      <c r="EM348" s="40"/>
      <c r="EN348" s="146">
        <f>+SUM(EN349:EN361)</f>
        <v>66130.23958440678</v>
      </c>
      <c r="EO348" s="146">
        <f>+SUM(EO349:EO361)</f>
        <v>91982.40342409999</v>
      </c>
      <c r="EP348" s="146" t="e">
        <f>+$EN$442/$EN$445*EN348</f>
        <v>#REF!</v>
      </c>
      <c r="EQ348" s="42">
        <f t="shared" ref="EQ348:EQ370" si="1356">+IF(EO348=0,,EN348/EO348*100)</f>
        <v>71.894446244791453</v>
      </c>
      <c r="ER348" s="42" t="e">
        <f>+IF((EN348+EP348)=0,,(EN348+EP348)/(EO348+EP348))*100</f>
        <v>#REF!</v>
      </c>
      <c r="ES348" s="42"/>
      <c r="ET348" s="42"/>
      <c r="EU348" s="19">
        <f t="shared" si="1319"/>
        <v>0</v>
      </c>
      <c r="EV348" s="42"/>
      <c r="EW348" s="39"/>
      <c r="EX348" s="39">
        <f t="shared" ref="EX348:EX370" si="1357">+BD348*AY348</f>
        <v>0</v>
      </c>
      <c r="EY348" s="39">
        <f t="shared" si="1303"/>
        <v>0</v>
      </c>
      <c r="EZ348" s="39"/>
      <c r="FA348" s="39"/>
      <c r="FB348" s="39"/>
      <c r="FC348" s="39"/>
      <c r="FD348" s="39"/>
      <c r="FE348" s="39"/>
      <c r="FF348" s="39"/>
      <c r="FG348" s="39"/>
      <c r="FH348" s="39"/>
      <c r="FI348" s="39"/>
      <c r="FJ348" s="41">
        <f>+SUM(FJ349:FJ361)</f>
        <v>25313.301691989833</v>
      </c>
      <c r="FK348" s="41">
        <f>+SUM(FK349:FK361)</f>
        <v>25852.159346472879</v>
      </c>
      <c r="FL348" s="41">
        <f t="shared" si="1322"/>
        <v>51165.461038462716</v>
      </c>
      <c r="FM348" s="40"/>
      <c r="FN348" s="40"/>
      <c r="FO348" s="80">
        <f t="shared" si="1309"/>
        <v>0</v>
      </c>
      <c r="FP348" s="80"/>
      <c r="FQ348" s="22"/>
      <c r="FR348" s="80">
        <f t="shared" ref="FR348:FR349" si="1358">+EI348</f>
        <v>0</v>
      </c>
      <c r="FS348" s="80"/>
      <c r="FT348" s="22"/>
      <c r="FU348" s="40"/>
      <c r="FV348" s="41">
        <f t="shared" ref="FV348:GB348" si="1359">+SUM(FV349:FV361)</f>
        <v>0</v>
      </c>
      <c r="FW348" s="41">
        <f t="shared" si="1359"/>
        <v>0</v>
      </c>
      <c r="FX348" s="41">
        <f t="shared" si="1359"/>
        <v>0</v>
      </c>
      <c r="FY348" s="41">
        <f t="shared" si="1359"/>
        <v>0</v>
      </c>
      <c r="FZ348" s="41">
        <f t="shared" si="1359"/>
        <v>0</v>
      </c>
      <c r="GA348" s="41">
        <f t="shared" si="1359"/>
        <v>0</v>
      </c>
      <c r="GB348" s="41">
        <f t="shared" si="1359"/>
        <v>0</v>
      </c>
      <c r="GC348" s="20">
        <f t="shared" si="1311"/>
        <v>0</v>
      </c>
      <c r="GD348" s="20">
        <f t="shared" si="1312"/>
        <v>0</v>
      </c>
      <c r="GE348" s="42"/>
      <c r="GF348" s="42"/>
      <c r="GG348" s="42"/>
      <c r="GH348" s="42"/>
      <c r="GI348" s="42"/>
      <c r="GJ348" s="42"/>
      <c r="GK348" s="42"/>
      <c r="GL348" s="42"/>
      <c r="GM348" s="40"/>
      <c r="GN348" s="40"/>
      <c r="GO348" s="80"/>
      <c r="GP348" s="80"/>
      <c r="GQ348" s="22"/>
      <c r="GR348" s="80"/>
      <c r="GS348" s="80"/>
      <c r="GT348" s="22"/>
      <c r="GU348" s="43"/>
      <c r="GV348" s="41"/>
      <c r="GW348" s="41"/>
      <c r="GX348" s="41">
        <f>+SUM(GX349:GX361)</f>
        <v>0</v>
      </c>
      <c r="GY348" s="41">
        <f>+SUM(GY349:GY361)</f>
        <v>0</v>
      </c>
      <c r="GZ348" s="44">
        <f t="shared" ref="GZ348" si="1360">+IF(GY348=0,,GX348/GY348*100)</f>
        <v>0</v>
      </c>
      <c r="HA348" s="80"/>
      <c r="HB348" s="80"/>
      <c r="HC348" s="22"/>
      <c r="HD348" s="80"/>
      <c r="HE348" s="80"/>
      <c r="HF348" s="22"/>
      <c r="HG348" s="233"/>
    </row>
    <row r="349" spans="2:215" ht="15.75">
      <c r="B349" s="10" t="s">
        <v>473</v>
      </c>
      <c r="C349" s="81" t="s">
        <v>152</v>
      </c>
      <c r="D349" s="73"/>
      <c r="E349" s="73"/>
      <c r="F349" s="74"/>
      <c r="G349" s="74"/>
      <c r="H349" s="74"/>
      <c r="I349" s="73"/>
      <c r="J349" s="74"/>
      <c r="K349" s="74"/>
      <c r="L349" s="74"/>
      <c r="M349" s="191"/>
      <c r="N349" s="191"/>
      <c r="O349" s="74"/>
      <c r="P349" s="74"/>
      <c r="Q349" s="74"/>
      <c r="R349" s="191"/>
      <c r="S349" s="74"/>
      <c r="T349" s="74"/>
      <c r="U349" s="74"/>
      <c r="V349" s="52"/>
      <c r="W349" s="52"/>
      <c r="X349" s="52"/>
      <c r="Y349" s="52"/>
      <c r="Z349" s="22"/>
      <c r="AA349" s="22"/>
      <c r="AB349" s="22"/>
      <c r="AC349" s="22"/>
      <c r="AD349" s="22"/>
      <c r="AE349" s="22"/>
      <c r="AF349" s="22"/>
      <c r="AG349" s="22">
        <f t="shared" ref="AG349:AG370" si="1361">+IF(AD349=0,,AF349/AD349*100)</f>
        <v>0</v>
      </c>
      <c r="AH349" s="22"/>
      <c r="AI349" s="22"/>
      <c r="AJ349" s="52"/>
      <c r="AK349" s="22"/>
      <c r="AL349" s="22"/>
      <c r="AM349" s="22"/>
      <c r="AN349" s="22"/>
      <c r="AO349" s="22"/>
      <c r="AP349" s="22"/>
      <c r="AQ349" s="22"/>
      <c r="AR349" s="22"/>
      <c r="AS349" s="22"/>
      <c r="AT349" s="22"/>
      <c r="AU349" s="22">
        <f t="shared" si="1324"/>
        <v>0</v>
      </c>
      <c r="AV349" s="77"/>
      <c r="AW349" s="77"/>
      <c r="AX349" s="78"/>
      <c r="AY349" s="22">
        <f t="shared" si="1340"/>
        <v>0</v>
      </c>
      <c r="AZ349" s="22"/>
      <c r="BA349" s="22"/>
      <c r="BB349" s="22"/>
      <c r="BC349" s="22"/>
      <c r="BD349" s="22"/>
      <c r="BE349" s="22">
        <f t="shared" si="1341"/>
        <v>0</v>
      </c>
      <c r="BF349" s="22"/>
      <c r="BG349" s="22"/>
      <c r="BH349" s="22">
        <f t="shared" si="1342"/>
        <v>0</v>
      </c>
      <c r="BI349" s="22"/>
      <c r="BJ349" s="40"/>
      <c r="BK349" s="19"/>
      <c r="BL349" s="19"/>
      <c r="BM349" s="19"/>
      <c r="BN349" s="19"/>
      <c r="BO349" s="19"/>
      <c r="BP349" s="19"/>
      <c r="BQ349" s="19"/>
      <c r="BR349" s="19"/>
      <c r="BS349" s="19"/>
      <c r="BT349" s="19"/>
      <c r="BU349" s="19"/>
      <c r="BV349" s="19"/>
      <c r="BW349" s="19"/>
      <c r="BX349" s="19"/>
      <c r="BY349" s="19"/>
      <c r="BZ349" s="19"/>
      <c r="CA349" s="19"/>
      <c r="CB349" s="19"/>
      <c r="CC349" s="19"/>
      <c r="CD349" s="19"/>
      <c r="CE349" s="48"/>
      <c r="CF349" s="48"/>
      <c r="CG349" s="48"/>
      <c r="CH349" s="48"/>
      <c r="CI349" s="48"/>
      <c r="CJ349" s="48"/>
      <c r="CK349" s="48"/>
      <c r="CL349" s="48"/>
      <c r="CM349" s="48"/>
      <c r="CN349" s="48"/>
      <c r="CO349" s="48"/>
      <c r="CP349" s="48"/>
      <c r="CQ349" s="48"/>
      <c r="CR349" s="48"/>
      <c r="CS349" s="48"/>
      <c r="CT349" s="48"/>
      <c r="CU349" s="48"/>
      <c r="CV349" s="48"/>
      <c r="CW349" s="19"/>
      <c r="CX349" s="19"/>
      <c r="CY349" s="19"/>
      <c r="CZ349" s="19"/>
      <c r="DA349" s="21"/>
      <c r="DB349" s="21"/>
      <c r="DC349" s="79"/>
      <c r="DD349" s="79"/>
      <c r="DE349" s="79"/>
      <c r="DF349" s="79"/>
      <c r="DG349" s="79"/>
      <c r="DH349" s="51"/>
      <c r="DI349" s="39"/>
      <c r="DJ349" s="80"/>
      <c r="DK349" s="39"/>
      <c r="DL349" s="39"/>
      <c r="DM349" s="48"/>
      <c r="DN349" s="39"/>
      <c r="DO349" s="39"/>
      <c r="DP349" s="39"/>
      <c r="DQ349" s="39"/>
      <c r="DR349" s="39"/>
      <c r="DS349" s="39"/>
      <c r="DT349" s="39"/>
      <c r="DU349" s="19">
        <f t="shared" si="1353"/>
        <v>0</v>
      </c>
      <c r="DV349" s="40">
        <f t="shared" ref="DV349:DV351" si="1362">+(BG349*AZ349)/1.18</f>
        <v>0</v>
      </c>
      <c r="DW349" s="40">
        <f t="shared" ref="DW349:DW370" si="1363">+BD349*AZ349</f>
        <v>0</v>
      </c>
      <c r="DX349" s="46"/>
      <c r="DY349" s="21">
        <f t="shared" si="1327"/>
        <v>0</v>
      </c>
      <c r="DZ349" s="19">
        <f t="shared" si="1354"/>
        <v>0</v>
      </c>
      <c r="EA349" s="19">
        <f t="shared" si="1355"/>
        <v>0</v>
      </c>
      <c r="EB349" s="19"/>
      <c r="EC349" s="48">
        <f t="shared" ref="EC349:EC358" si="1364">+(BC349-BF349/1.18)*AZ349/2</f>
        <v>0</v>
      </c>
      <c r="ED349" s="48">
        <f t="shared" ref="ED349:ED358" si="1365">+(BD349-BG349/1.18)*AZ349/2</f>
        <v>0</v>
      </c>
      <c r="EE349" s="22"/>
      <c r="EF349" s="22"/>
      <c r="EG349" s="22">
        <f t="shared" si="1325"/>
        <v>0</v>
      </c>
      <c r="EH349" s="22"/>
      <c r="EI349" s="22"/>
      <c r="EJ349" s="22">
        <f t="shared" si="1326"/>
        <v>0</v>
      </c>
      <c r="EK349" s="40"/>
      <c r="EL349" s="19"/>
      <c r="EM349" s="19"/>
      <c r="EN349" s="146">
        <f t="shared" si="1315"/>
        <v>0</v>
      </c>
      <c r="EO349" s="146">
        <f t="shared" si="1316"/>
        <v>0</v>
      </c>
      <c r="EP349" s="146"/>
      <c r="EQ349" s="21">
        <f t="shared" si="1356"/>
        <v>0</v>
      </c>
      <c r="ER349" s="21"/>
      <c r="ES349" s="21">
        <f t="shared" ref="ES349:ES359" si="1366">+EL349*EE349</f>
        <v>0</v>
      </c>
      <c r="ET349" s="21"/>
      <c r="EU349" s="19">
        <f t="shared" si="1319"/>
        <v>0</v>
      </c>
      <c r="EV349" s="21"/>
      <c r="EW349" s="39"/>
      <c r="EX349" s="39">
        <f t="shared" si="1357"/>
        <v>0</v>
      </c>
      <c r="EY349" s="39">
        <f t="shared" ref="EY349:EY375" si="1367">+EF349*AY349</f>
        <v>0</v>
      </c>
      <c r="EZ349" s="39"/>
      <c r="FA349" s="39"/>
      <c r="FB349" s="39"/>
      <c r="FC349" s="39"/>
      <c r="FD349" s="39"/>
      <c r="FE349" s="39"/>
      <c r="FF349" s="39"/>
      <c r="FG349" s="39"/>
      <c r="FH349" s="39"/>
      <c r="FI349" s="39"/>
      <c r="FJ349" s="19">
        <f t="shared" si="1320"/>
        <v>0</v>
      </c>
      <c r="FK349" s="19">
        <f t="shared" si="1321"/>
        <v>0</v>
      </c>
      <c r="FL349" s="19">
        <f t="shared" si="1322"/>
        <v>0</v>
      </c>
      <c r="FM349" s="19"/>
      <c r="FN349" s="19"/>
      <c r="FO349" s="22">
        <f t="shared" si="1309"/>
        <v>0</v>
      </c>
      <c r="FP349" s="22"/>
      <c r="FQ349" s="22"/>
      <c r="FR349" s="22">
        <f t="shared" si="1358"/>
        <v>0</v>
      </c>
      <c r="FS349" s="22"/>
      <c r="FT349" s="22"/>
      <c r="FU349" s="40"/>
      <c r="FV349" s="19">
        <f>+(FO349-FR349/1.18)*FN349</f>
        <v>0</v>
      </c>
      <c r="FW349" s="19">
        <f>+(FP349-FS349/1.18)*FN349</f>
        <v>0</v>
      </c>
      <c r="FX349" s="19">
        <f t="shared" ref="FX349" si="1368">+(FW349/2)-FV349/2</f>
        <v>0</v>
      </c>
      <c r="FY349" s="19">
        <f t="shared" ref="FY349" si="1369">+(FR349*EM349)/1.18</f>
        <v>0</v>
      </c>
      <c r="FZ349" s="19">
        <f t="shared" ref="FZ349" si="1370">+FO349*EM349</f>
        <v>0</v>
      </c>
      <c r="GA349" s="19">
        <f t="shared" ref="GA349" si="1371">+(FS349*EM349)/1.18</f>
        <v>0</v>
      </c>
      <c r="GB349" s="19">
        <f t="shared" ref="GB349" si="1372">+FP349*EM349</f>
        <v>0</v>
      </c>
      <c r="GC349" s="20">
        <f t="shared" si="1311"/>
        <v>0</v>
      </c>
      <c r="GD349" s="20">
        <f t="shared" ref="GD349:GD375" si="1373">+IF(GB349=0,,GA349/GB349*100)</f>
        <v>0</v>
      </c>
      <c r="GE349" s="21"/>
      <c r="GF349" s="21">
        <f t="shared" ref="GF349" si="1374">+FR349*FN349</f>
        <v>0</v>
      </c>
      <c r="GG349" s="21"/>
      <c r="GH349" s="21"/>
      <c r="GI349" s="21">
        <f t="shared" ref="GI349" si="1375">+FP349*FM349</f>
        <v>0</v>
      </c>
      <c r="GJ349" s="21">
        <f t="shared" ref="GJ349" si="1376">+FS349*FN349</f>
        <v>0</v>
      </c>
      <c r="GK349" s="21"/>
      <c r="GL349" s="21"/>
      <c r="GM349" s="19"/>
      <c r="GN349" s="19"/>
      <c r="GO349" s="22"/>
      <c r="GP349" s="22"/>
      <c r="GQ349" s="22"/>
      <c r="GR349" s="22"/>
      <c r="GS349" s="22"/>
      <c r="GT349" s="22"/>
      <c r="GU349" s="43"/>
      <c r="GV349" s="19"/>
      <c r="GW349" s="19"/>
      <c r="GX349" s="19"/>
      <c r="GY349" s="19"/>
      <c r="GZ349" s="19"/>
      <c r="HA349" s="22"/>
      <c r="HB349" s="22"/>
      <c r="HC349" s="22"/>
      <c r="HD349" s="22"/>
      <c r="HE349" s="22"/>
      <c r="HF349" s="22"/>
      <c r="HG349" s="233"/>
    </row>
    <row r="350" spans="2:215" ht="34.9" customHeight="1">
      <c r="B350" s="10"/>
      <c r="C350" s="161" t="s">
        <v>474</v>
      </c>
      <c r="D350" s="73"/>
      <c r="E350" s="73"/>
      <c r="F350" s="74"/>
      <c r="G350" s="74"/>
      <c r="H350" s="74"/>
      <c r="I350" s="73"/>
      <c r="J350" s="74"/>
      <c r="K350" s="74"/>
      <c r="L350" s="74"/>
      <c r="M350" s="191"/>
      <c r="N350" s="191"/>
      <c r="O350" s="74"/>
      <c r="P350" s="74"/>
      <c r="Q350" s="74"/>
      <c r="R350" s="191"/>
      <c r="S350" s="74"/>
      <c r="T350" s="74"/>
      <c r="U350" s="74"/>
      <c r="V350" s="52"/>
      <c r="W350" s="52"/>
      <c r="X350" s="52"/>
      <c r="Y350" s="52"/>
      <c r="Z350" s="22"/>
      <c r="AA350" s="22"/>
      <c r="AB350" s="22"/>
      <c r="AC350" s="22"/>
      <c r="AD350" s="52">
        <v>2523.4</v>
      </c>
      <c r="AE350" s="22"/>
      <c r="AF350" s="22">
        <v>2523.4</v>
      </c>
      <c r="AG350" s="22">
        <f t="shared" si="1361"/>
        <v>100</v>
      </c>
      <c r="AH350" s="22"/>
      <c r="AI350" s="22"/>
      <c r="AJ350" s="52"/>
      <c r="AK350" s="22"/>
      <c r="AL350" s="22"/>
      <c r="AM350" s="22"/>
      <c r="AN350" s="22"/>
      <c r="AO350" s="22"/>
      <c r="AP350" s="22"/>
      <c r="AQ350" s="22"/>
      <c r="AR350" s="22">
        <v>1761.29</v>
      </c>
      <c r="AS350" s="22"/>
      <c r="AT350" s="22">
        <v>1967.36</v>
      </c>
      <c r="AU350" s="22">
        <f t="shared" si="1324"/>
        <v>111.69994719779253</v>
      </c>
      <c r="AV350" s="77"/>
      <c r="AW350" s="77"/>
      <c r="AX350" s="239" t="s">
        <v>139</v>
      </c>
      <c r="AY350" s="22">
        <f t="shared" si="1340"/>
        <v>41.054969999999997</v>
      </c>
      <c r="AZ350" s="22">
        <f>+[8]БПр!$BX$1388/1000</f>
        <v>26.445910000000001</v>
      </c>
      <c r="BA350" s="22">
        <f>+[8]БПр!$BW$1390/1000</f>
        <v>9.0623899999999988</v>
      </c>
      <c r="BB350" s="22">
        <f>+[8]БПр!$BY$1390/1000</f>
        <v>5.5466699999999998</v>
      </c>
      <c r="BC350" s="22">
        <v>2523.4</v>
      </c>
      <c r="BD350" s="22">
        <v>2629.38</v>
      </c>
      <c r="BE350" s="22">
        <f t="shared" si="1341"/>
        <v>104.19988903859871</v>
      </c>
      <c r="BF350" s="22">
        <v>1967.36</v>
      </c>
      <c r="BG350" s="22">
        <v>2049.98</v>
      </c>
      <c r="BH350" s="22">
        <f t="shared" si="1342"/>
        <v>104.19953643461288</v>
      </c>
      <c r="BI350" s="22">
        <f>+BD350-BG350/1.18</f>
        <v>892.10881355932202</v>
      </c>
      <c r="BJ350" s="241" t="s">
        <v>140</v>
      </c>
      <c r="BK350" s="19"/>
      <c r="BL350" s="19"/>
      <c r="BM350" s="19"/>
      <c r="BN350" s="19"/>
      <c r="BO350" s="19"/>
      <c r="BP350" s="19"/>
      <c r="BQ350" s="19"/>
      <c r="BR350" s="19"/>
      <c r="BS350" s="19"/>
      <c r="BT350" s="19"/>
      <c r="BU350" s="19"/>
      <c r="BV350" s="19"/>
      <c r="BW350" s="19"/>
      <c r="BX350" s="19"/>
      <c r="BY350" s="19"/>
      <c r="BZ350" s="19"/>
      <c r="CA350" s="19"/>
      <c r="CB350" s="19"/>
      <c r="CC350" s="19"/>
      <c r="CD350" s="19"/>
      <c r="CE350" s="48"/>
      <c r="CF350" s="48"/>
      <c r="CG350" s="48"/>
      <c r="CH350" s="48"/>
      <c r="CI350" s="48"/>
      <c r="CJ350" s="48"/>
      <c r="CK350" s="48"/>
      <c r="CL350" s="48"/>
      <c r="CM350" s="48"/>
      <c r="CN350" s="48"/>
      <c r="CO350" s="48"/>
      <c r="CP350" s="48"/>
      <c r="CQ350" s="48"/>
      <c r="CR350" s="48"/>
      <c r="CS350" s="48"/>
      <c r="CT350" s="48"/>
      <c r="CU350" s="48"/>
      <c r="CV350" s="48"/>
      <c r="CW350" s="19"/>
      <c r="CX350" s="19"/>
      <c r="CY350" s="19"/>
      <c r="CZ350" s="19"/>
      <c r="DA350" s="21"/>
      <c r="DB350" s="21"/>
      <c r="DC350" s="79"/>
      <c r="DD350" s="79"/>
      <c r="DE350" s="79"/>
      <c r="DF350" s="79"/>
      <c r="DG350" s="79"/>
      <c r="DH350" s="51"/>
      <c r="DI350" s="39"/>
      <c r="DJ350" s="80"/>
      <c r="DK350" s="39"/>
      <c r="DL350" s="39"/>
      <c r="DM350" s="48"/>
      <c r="DN350" s="39"/>
      <c r="DO350" s="39"/>
      <c r="DP350" s="39"/>
      <c r="DQ350" s="39"/>
      <c r="DR350" s="39"/>
      <c r="DS350" s="39"/>
      <c r="DT350" s="39"/>
      <c r="DU350" s="19">
        <f t="shared" si="1353"/>
        <v>44092.05550644068</v>
      </c>
      <c r="DV350" s="40">
        <f t="shared" si="1362"/>
        <v>45943.717442203393</v>
      </c>
      <c r="DW350" s="40">
        <f t="shared" si="1363"/>
        <v>69536.34683580001</v>
      </c>
      <c r="DX350" s="21">
        <f>+('[1]тарифы (НВВ) население на 4,2%'!CL456+'[1]тарифы (НВВ) население на 4,2%'!CL457+'[1]тарифы (НВВ) население на 4,2%'!CL458+'[1]тарифы (НВВ) население на 4,2%'!CL459)/('[1]тарифы (НВВ) население на 4,2%'!CM456+'[1]тарифы (НВВ) население на 4,2%'!CM457+'[1]тарифы (НВВ) население на 4,2%'!CM458+'[1]тарифы (НВВ) население на 4,2%'!CM459)*100</f>
        <v>75.491379413872949</v>
      </c>
      <c r="DY350" s="21">
        <f t="shared" si="1327"/>
        <v>66.071514442213669</v>
      </c>
      <c r="DZ350" s="19">
        <f t="shared" si="1354"/>
        <v>103.59811129800001</v>
      </c>
      <c r="EA350" s="19">
        <f t="shared" si="1355"/>
        <v>107.94911701859999</v>
      </c>
      <c r="EB350" s="48">
        <v>1859.47</v>
      </c>
      <c r="EC350" s="48">
        <f>+(BC350-BF350/1.18)*AZ350</f>
        <v>22641.553787559329</v>
      </c>
      <c r="ED350" s="48">
        <f>+(BD350-BG350/1.18)*AZ350</f>
        <v>23592.62939359661</v>
      </c>
      <c r="EE350" s="22">
        <v>2629.38</v>
      </c>
      <c r="EF350" s="22">
        <v>2813.43</v>
      </c>
      <c r="EG350" s="22">
        <f t="shared" si="1325"/>
        <v>106.99974899025624</v>
      </c>
      <c r="EH350" s="22">
        <v>2049.98</v>
      </c>
      <c r="EI350" s="22">
        <v>2223.1999999999998</v>
      </c>
      <c r="EJ350" s="22">
        <f t="shared" si="1326"/>
        <v>108.44983853501009</v>
      </c>
      <c r="EK350" s="241" t="s">
        <v>141</v>
      </c>
      <c r="EL350" s="19">
        <v>30.627310000000001</v>
      </c>
      <c r="EM350" s="19">
        <v>16.654029999999999</v>
      </c>
      <c r="EN350" s="146">
        <f t="shared" si="1315"/>
        <v>31377.321606779657</v>
      </c>
      <c r="EO350" s="146">
        <f t="shared" si="1316"/>
        <v>46854.947622899992</v>
      </c>
      <c r="EP350" s="146"/>
      <c r="EQ350" s="21">
        <f t="shared" si="1356"/>
        <v>66.966933480135253</v>
      </c>
      <c r="ER350" s="21"/>
      <c r="ES350" s="21">
        <f t="shared" si="1366"/>
        <v>80530.836367800002</v>
      </c>
      <c r="ET350" s="21"/>
      <c r="EU350" s="19">
        <f t="shared" si="1319"/>
        <v>86167.792773299996</v>
      </c>
      <c r="EV350" s="21"/>
      <c r="EW350" s="39"/>
      <c r="EX350" s="39">
        <f t="shared" si="1357"/>
        <v>107949.11701859999</v>
      </c>
      <c r="EY350" s="39">
        <f t="shared" si="1367"/>
        <v>115505.28424709999</v>
      </c>
      <c r="EZ350" s="39"/>
      <c r="FA350" s="39"/>
      <c r="FB350" s="39"/>
      <c r="FC350" s="39"/>
      <c r="FD350" s="39"/>
      <c r="FE350" s="39"/>
      <c r="FF350" s="39"/>
      <c r="FG350" s="39"/>
      <c r="FH350" s="39"/>
      <c r="FI350" s="39"/>
      <c r="FJ350" s="19">
        <f t="shared" si="1320"/>
        <v>14857.206944281355</v>
      </c>
      <c r="FK350" s="19">
        <f t="shared" si="1321"/>
        <v>15477.626016120337</v>
      </c>
      <c r="FL350" s="19">
        <f t="shared" si="1322"/>
        <v>30334.832960401691</v>
      </c>
      <c r="FM350" s="19">
        <v>35.262369999999997</v>
      </c>
      <c r="FN350" s="19">
        <v>23.457680000000003</v>
      </c>
      <c r="FO350" s="22">
        <v>3013.12</v>
      </c>
      <c r="FP350" s="22">
        <v>3083.47</v>
      </c>
      <c r="FQ350" s="22"/>
      <c r="FR350" s="22">
        <v>2651.95</v>
      </c>
      <c r="FS350" s="22">
        <v>2784.55</v>
      </c>
      <c r="FT350" s="22"/>
      <c r="FU350" s="241" t="s">
        <v>624</v>
      </c>
      <c r="FV350" s="19"/>
      <c r="FW350" s="19"/>
      <c r="FX350" s="19"/>
      <c r="FY350" s="19"/>
      <c r="FZ350" s="19"/>
      <c r="GA350" s="19"/>
      <c r="GB350" s="19"/>
      <c r="GC350" s="20"/>
      <c r="GD350" s="20"/>
      <c r="GE350" s="21"/>
      <c r="GF350" s="21"/>
      <c r="GG350" s="21"/>
      <c r="GH350" s="21"/>
      <c r="GI350" s="21"/>
      <c r="GJ350" s="21"/>
      <c r="GK350" s="21"/>
      <c r="GL350" s="21"/>
      <c r="GM350" s="19"/>
      <c r="GN350" s="19"/>
      <c r="GO350" s="22">
        <v>3083.47</v>
      </c>
      <c r="GP350" s="22">
        <v>3217.34</v>
      </c>
      <c r="GQ350" s="22"/>
      <c r="GR350" s="22">
        <v>2784.55</v>
      </c>
      <c r="GS350" s="22">
        <v>2890.36</v>
      </c>
      <c r="GT350" s="22"/>
      <c r="GU350" s="241" t="s">
        <v>624</v>
      </c>
      <c r="GV350" s="19"/>
      <c r="GW350" s="19"/>
      <c r="GX350" s="19"/>
      <c r="GY350" s="19"/>
      <c r="GZ350" s="23"/>
      <c r="HA350" s="22">
        <v>3217.34</v>
      </c>
      <c r="HB350" s="22">
        <v>3305.42</v>
      </c>
      <c r="HC350" s="22"/>
      <c r="HD350" s="22">
        <v>2890.46</v>
      </c>
      <c r="HE350" s="22">
        <v>3005.98</v>
      </c>
      <c r="HF350" s="22"/>
      <c r="HG350" s="241" t="s">
        <v>624</v>
      </c>
    </row>
    <row r="351" spans="2:215" ht="15.75">
      <c r="B351" s="10"/>
      <c r="C351" s="161" t="s">
        <v>475</v>
      </c>
      <c r="D351" s="73"/>
      <c r="E351" s="73"/>
      <c r="F351" s="74"/>
      <c r="G351" s="74"/>
      <c r="H351" s="74"/>
      <c r="I351" s="73"/>
      <c r="J351" s="74"/>
      <c r="K351" s="74"/>
      <c r="L351" s="74"/>
      <c r="M351" s="191"/>
      <c r="N351" s="191"/>
      <c r="O351" s="74"/>
      <c r="P351" s="74"/>
      <c r="Q351" s="74"/>
      <c r="R351" s="191"/>
      <c r="S351" s="74"/>
      <c r="T351" s="74"/>
      <c r="U351" s="74"/>
      <c r="V351" s="52"/>
      <c r="W351" s="52"/>
      <c r="X351" s="52"/>
      <c r="Y351" s="52"/>
      <c r="Z351" s="22"/>
      <c r="AA351" s="22"/>
      <c r="AB351" s="22"/>
      <c r="AC351" s="22"/>
      <c r="AD351" s="52">
        <v>2523.4</v>
      </c>
      <c r="AE351" s="22"/>
      <c r="AF351" s="22">
        <v>2523.4</v>
      </c>
      <c r="AG351" s="22">
        <f t="shared" si="1361"/>
        <v>100</v>
      </c>
      <c r="AH351" s="22"/>
      <c r="AI351" s="22"/>
      <c r="AJ351" s="52"/>
      <c r="AK351" s="22"/>
      <c r="AL351" s="22"/>
      <c r="AM351" s="22"/>
      <c r="AN351" s="22"/>
      <c r="AO351" s="22"/>
      <c r="AP351" s="22"/>
      <c r="AQ351" s="22"/>
      <c r="AR351" s="22">
        <v>1757.46</v>
      </c>
      <c r="AS351" s="22"/>
      <c r="AT351" s="22">
        <v>1963.07</v>
      </c>
      <c r="AU351" s="22">
        <f t="shared" si="1324"/>
        <v>111.69927053816302</v>
      </c>
      <c r="AV351" s="77"/>
      <c r="AW351" s="77"/>
      <c r="AX351" s="239"/>
      <c r="AY351" s="22">
        <f t="shared" si="1340"/>
        <v>0</v>
      </c>
      <c r="AZ351" s="22"/>
      <c r="BA351" s="22"/>
      <c r="BB351" s="22"/>
      <c r="BC351" s="22">
        <v>2523.4</v>
      </c>
      <c r="BD351" s="22">
        <v>2629.38</v>
      </c>
      <c r="BE351" s="22">
        <f t="shared" si="1341"/>
        <v>104.19988903859871</v>
      </c>
      <c r="BF351" s="22">
        <v>1963.07</v>
      </c>
      <c r="BG351" s="22">
        <v>2045.51</v>
      </c>
      <c r="BH351" s="22">
        <f t="shared" si="1342"/>
        <v>104.19954459087042</v>
      </c>
      <c r="BI351" s="22">
        <f>+BD351-BG351/1.18</f>
        <v>895.89694915254245</v>
      </c>
      <c r="BJ351" s="241"/>
      <c r="BK351" s="19"/>
      <c r="BL351" s="19"/>
      <c r="BM351" s="19"/>
      <c r="BN351" s="19"/>
      <c r="BO351" s="19"/>
      <c r="BP351" s="19"/>
      <c r="BQ351" s="19"/>
      <c r="BR351" s="19"/>
      <c r="BS351" s="19"/>
      <c r="BT351" s="19"/>
      <c r="BU351" s="19"/>
      <c r="BV351" s="19"/>
      <c r="BW351" s="19"/>
      <c r="BX351" s="19"/>
      <c r="BY351" s="19"/>
      <c r="BZ351" s="19"/>
      <c r="CA351" s="19"/>
      <c r="CB351" s="19"/>
      <c r="CC351" s="19"/>
      <c r="CD351" s="19"/>
      <c r="CE351" s="48"/>
      <c r="CF351" s="48"/>
      <c r="CG351" s="48"/>
      <c r="CH351" s="48"/>
      <c r="CI351" s="48"/>
      <c r="CJ351" s="48"/>
      <c r="CK351" s="48"/>
      <c r="CL351" s="48"/>
      <c r="CM351" s="48"/>
      <c r="CN351" s="48"/>
      <c r="CO351" s="48"/>
      <c r="CP351" s="48"/>
      <c r="CQ351" s="48"/>
      <c r="CR351" s="48"/>
      <c r="CS351" s="48"/>
      <c r="CT351" s="48"/>
      <c r="CU351" s="48"/>
      <c r="CV351" s="48"/>
      <c r="CW351" s="19"/>
      <c r="CX351" s="19"/>
      <c r="CY351" s="19"/>
      <c r="CZ351" s="19"/>
      <c r="DA351" s="21"/>
      <c r="DB351" s="21"/>
      <c r="DC351" s="79"/>
      <c r="DD351" s="79"/>
      <c r="DE351" s="79"/>
      <c r="DF351" s="79"/>
      <c r="DG351" s="79"/>
      <c r="DH351" s="51"/>
      <c r="DI351" s="39"/>
      <c r="DJ351" s="80"/>
      <c r="DK351" s="39"/>
      <c r="DL351" s="39"/>
      <c r="DM351" s="48"/>
      <c r="DN351" s="39"/>
      <c r="DO351" s="39"/>
      <c r="DP351" s="39"/>
      <c r="DQ351" s="39"/>
      <c r="DR351" s="39"/>
      <c r="DS351" s="39"/>
      <c r="DT351" s="39"/>
      <c r="DU351" s="19">
        <f t="shared" si="1353"/>
        <v>0</v>
      </c>
      <c r="DV351" s="40">
        <f t="shared" si="1362"/>
        <v>0</v>
      </c>
      <c r="DW351" s="40">
        <f t="shared" si="1363"/>
        <v>0</v>
      </c>
      <c r="DX351" s="46"/>
      <c r="DY351" s="21">
        <f t="shared" si="1327"/>
        <v>0</v>
      </c>
      <c r="DZ351" s="19">
        <f t="shared" si="1354"/>
        <v>0</v>
      </c>
      <c r="EA351" s="19">
        <f t="shared" si="1355"/>
        <v>0</v>
      </c>
      <c r="EB351" s="48">
        <v>1859.47</v>
      </c>
      <c r="EC351" s="48">
        <f t="shared" si="1364"/>
        <v>0</v>
      </c>
      <c r="ED351" s="48">
        <f t="shared" si="1365"/>
        <v>0</v>
      </c>
      <c r="EE351" s="22">
        <v>2629.38</v>
      </c>
      <c r="EF351" s="22">
        <v>2813.43</v>
      </c>
      <c r="EG351" s="22">
        <f t="shared" si="1325"/>
        <v>106.99974899025624</v>
      </c>
      <c r="EH351" s="22">
        <v>2045.51</v>
      </c>
      <c r="EI351" s="22">
        <v>2218.35</v>
      </c>
      <c r="EJ351" s="22">
        <f t="shared" si="1326"/>
        <v>108.44972647408227</v>
      </c>
      <c r="EK351" s="241"/>
      <c r="EL351" s="19"/>
      <c r="EM351" s="19"/>
      <c r="EN351" s="146">
        <f t="shared" si="1315"/>
        <v>0</v>
      </c>
      <c r="EO351" s="146">
        <f t="shared" si="1316"/>
        <v>0</v>
      </c>
      <c r="EP351" s="146"/>
      <c r="EQ351" s="21">
        <f t="shared" si="1356"/>
        <v>0</v>
      </c>
      <c r="ER351" s="21"/>
      <c r="ES351" s="21">
        <f t="shared" si="1366"/>
        <v>0</v>
      </c>
      <c r="ET351" s="21"/>
      <c r="EU351" s="19">
        <f t="shared" si="1319"/>
        <v>0</v>
      </c>
      <c r="EV351" s="21"/>
      <c r="EW351" s="39"/>
      <c r="EX351" s="39">
        <f t="shared" si="1357"/>
        <v>0</v>
      </c>
      <c r="EY351" s="39">
        <f t="shared" si="1367"/>
        <v>0</v>
      </c>
      <c r="EZ351" s="39"/>
      <c r="FA351" s="39"/>
      <c r="FB351" s="39"/>
      <c r="FC351" s="39"/>
      <c r="FD351" s="39"/>
      <c r="FE351" s="166"/>
      <c r="FF351" s="166"/>
      <c r="FG351" s="39"/>
      <c r="FH351" s="39"/>
      <c r="FI351" s="39"/>
      <c r="FJ351" s="19">
        <f t="shared" si="1320"/>
        <v>0</v>
      </c>
      <c r="FK351" s="19">
        <f t="shared" si="1321"/>
        <v>0</v>
      </c>
      <c r="FL351" s="19">
        <f t="shared" si="1322"/>
        <v>0</v>
      </c>
      <c r="FM351" s="19">
        <v>3.9449999999999998</v>
      </c>
      <c r="FN351" s="19">
        <v>2.7109999999999999</v>
      </c>
      <c r="FO351" s="22">
        <v>3013.12</v>
      </c>
      <c r="FP351" s="22">
        <v>3083.47</v>
      </c>
      <c r="FQ351" s="22"/>
      <c r="FR351" s="22">
        <v>2646.17</v>
      </c>
      <c r="FS351" s="22">
        <v>2778.48</v>
      </c>
      <c r="FT351" s="22"/>
      <c r="FU351" s="241"/>
      <c r="FV351" s="19"/>
      <c r="FW351" s="19"/>
      <c r="FX351" s="19"/>
      <c r="FY351" s="19"/>
      <c r="FZ351" s="19"/>
      <c r="GA351" s="19"/>
      <c r="GB351" s="19"/>
      <c r="GC351" s="20"/>
      <c r="GD351" s="20"/>
      <c r="GE351" s="21"/>
      <c r="GF351" s="21"/>
      <c r="GG351" s="21"/>
      <c r="GH351" s="21"/>
      <c r="GI351" s="21"/>
      <c r="GJ351" s="21"/>
      <c r="GK351" s="21"/>
      <c r="GL351" s="21"/>
      <c r="GM351" s="19"/>
      <c r="GN351" s="19"/>
      <c r="GO351" s="22">
        <v>3083.47</v>
      </c>
      <c r="GP351" s="22">
        <v>3217.34</v>
      </c>
      <c r="GQ351" s="22"/>
      <c r="GR351" s="22">
        <v>2778.48</v>
      </c>
      <c r="GS351" s="22">
        <v>2884.06</v>
      </c>
      <c r="GT351" s="22"/>
      <c r="GU351" s="241"/>
      <c r="GV351" s="19"/>
      <c r="GW351" s="19"/>
      <c r="GX351" s="19"/>
      <c r="GY351" s="19"/>
      <c r="GZ351" s="23"/>
      <c r="HA351" s="22">
        <v>3217.34</v>
      </c>
      <c r="HB351" s="22">
        <v>3305.42</v>
      </c>
      <c r="HC351" s="22"/>
      <c r="HD351" s="22">
        <v>2884.06</v>
      </c>
      <c r="HE351" s="22">
        <v>2999.42</v>
      </c>
      <c r="HF351" s="22"/>
      <c r="HG351" s="241"/>
    </row>
    <row r="352" spans="2:215" ht="15.75">
      <c r="B352" s="10"/>
      <c r="C352" s="184" t="s">
        <v>150</v>
      </c>
      <c r="D352" s="73"/>
      <c r="E352" s="73"/>
      <c r="F352" s="74"/>
      <c r="G352" s="74"/>
      <c r="H352" s="74"/>
      <c r="I352" s="73"/>
      <c r="J352" s="74"/>
      <c r="K352" s="74"/>
      <c r="L352" s="74"/>
      <c r="M352" s="191"/>
      <c r="N352" s="191"/>
      <c r="O352" s="74"/>
      <c r="P352" s="74"/>
      <c r="Q352" s="74"/>
      <c r="R352" s="191"/>
      <c r="S352" s="74"/>
      <c r="T352" s="74"/>
      <c r="U352" s="74"/>
      <c r="V352" s="52"/>
      <c r="W352" s="52"/>
      <c r="X352" s="52"/>
      <c r="Y352" s="52"/>
      <c r="Z352" s="22"/>
      <c r="AA352" s="22"/>
      <c r="AB352" s="22"/>
      <c r="AC352" s="22"/>
      <c r="AD352" s="52">
        <v>212.68</v>
      </c>
      <c r="AE352" s="22"/>
      <c r="AF352" s="22">
        <v>212.68</v>
      </c>
      <c r="AG352" s="22">
        <f t="shared" si="1361"/>
        <v>100</v>
      </c>
      <c r="AH352" s="22"/>
      <c r="AI352" s="22"/>
      <c r="AJ352" s="52"/>
      <c r="AK352" s="22"/>
      <c r="AL352" s="22"/>
      <c r="AM352" s="22"/>
      <c r="AN352" s="22"/>
      <c r="AO352" s="22"/>
      <c r="AP352" s="22"/>
      <c r="AQ352" s="22"/>
      <c r="AR352" s="22">
        <v>168.15</v>
      </c>
      <c r="AS352" s="22"/>
      <c r="AT352" s="22">
        <v>187.33</v>
      </c>
      <c r="AU352" s="22">
        <f t="shared" si="1324"/>
        <v>111.40648230746358</v>
      </c>
      <c r="AV352" s="77"/>
      <c r="AW352" s="77"/>
      <c r="AX352" s="78" t="s">
        <v>156</v>
      </c>
      <c r="AY352" s="22">
        <f t="shared" si="1340"/>
        <v>0</v>
      </c>
      <c r="AZ352" s="22"/>
      <c r="BA352" s="22"/>
      <c r="BB352" s="22"/>
      <c r="BC352" s="22"/>
      <c r="BD352" s="22"/>
      <c r="BE352" s="22">
        <f t="shared" si="1341"/>
        <v>0</v>
      </c>
      <c r="BF352" s="22">
        <v>187.33</v>
      </c>
      <c r="BG352" s="22">
        <v>195.19</v>
      </c>
      <c r="BH352" s="22">
        <f t="shared" si="1342"/>
        <v>104.19580419580419</v>
      </c>
      <c r="BI352" s="22"/>
      <c r="BJ352" s="40" t="s">
        <v>157</v>
      </c>
      <c r="BK352" s="19"/>
      <c r="BL352" s="19"/>
      <c r="BM352" s="19"/>
      <c r="BN352" s="19"/>
      <c r="BO352" s="19"/>
      <c r="BP352" s="19"/>
      <c r="BQ352" s="19"/>
      <c r="BR352" s="19"/>
      <c r="BS352" s="19"/>
      <c r="BT352" s="19"/>
      <c r="BU352" s="19"/>
      <c r="BV352" s="19"/>
      <c r="BW352" s="19"/>
      <c r="BX352" s="19"/>
      <c r="BY352" s="19"/>
      <c r="BZ352" s="19"/>
      <c r="CA352" s="19"/>
      <c r="CB352" s="19"/>
      <c r="CC352" s="19"/>
      <c r="CD352" s="19"/>
      <c r="CE352" s="48"/>
      <c r="CF352" s="48"/>
      <c r="CG352" s="48"/>
      <c r="CH352" s="48"/>
      <c r="CI352" s="48"/>
      <c r="CJ352" s="48"/>
      <c r="CK352" s="48"/>
      <c r="CL352" s="48"/>
      <c r="CM352" s="48"/>
      <c r="CN352" s="48"/>
      <c r="CO352" s="48"/>
      <c r="CP352" s="48"/>
      <c r="CQ352" s="48"/>
      <c r="CR352" s="48"/>
      <c r="CS352" s="48"/>
      <c r="CT352" s="48"/>
      <c r="CU352" s="48"/>
      <c r="CV352" s="48"/>
      <c r="CW352" s="19"/>
      <c r="CX352" s="19"/>
      <c r="CY352" s="19"/>
      <c r="CZ352" s="19"/>
      <c r="DA352" s="21"/>
      <c r="DB352" s="21"/>
      <c r="DC352" s="79"/>
      <c r="DD352" s="79"/>
      <c r="DE352" s="79"/>
      <c r="DF352" s="79"/>
      <c r="DG352" s="79"/>
      <c r="DH352" s="51"/>
      <c r="DI352" s="39"/>
      <c r="DJ352" s="80"/>
      <c r="DK352" s="39"/>
      <c r="DL352" s="39"/>
      <c r="DM352" s="48"/>
      <c r="DN352" s="39"/>
      <c r="DO352" s="39"/>
      <c r="DP352" s="39"/>
      <c r="DQ352" s="39"/>
      <c r="DR352" s="39"/>
      <c r="DS352" s="39"/>
      <c r="DT352" s="39"/>
      <c r="DU352" s="19">
        <f t="shared" si="1353"/>
        <v>0</v>
      </c>
      <c r="DV352" s="40">
        <f>+'[1]тарифы (НВВ) население на 4,2%'!CL461*1.042</f>
        <v>4585.8737359202551</v>
      </c>
      <c r="DW352" s="40">
        <f>+'[1]тарифы (НВВ) население на 4,2%'!CM461*1.042</f>
        <v>5536.04860947</v>
      </c>
      <c r="DX352" s="46"/>
      <c r="DY352" s="21">
        <f t="shared" si="1327"/>
        <v>82.836587237973859</v>
      </c>
      <c r="DZ352" s="19">
        <f t="shared" si="1354"/>
        <v>0</v>
      </c>
      <c r="EA352" s="19">
        <f t="shared" si="1355"/>
        <v>0</v>
      </c>
      <c r="EB352" s="19"/>
      <c r="EC352" s="48">
        <f t="shared" si="1364"/>
        <v>0</v>
      </c>
      <c r="ED352" s="48">
        <f t="shared" si="1365"/>
        <v>0</v>
      </c>
      <c r="EE352" s="22">
        <v>221.61</v>
      </c>
      <c r="EF352" s="22">
        <v>236.56</v>
      </c>
      <c r="EG352" s="22">
        <f t="shared" si="1325"/>
        <v>106.74608546545731</v>
      </c>
      <c r="EH352" s="22">
        <v>195.19</v>
      </c>
      <c r="EI352" s="22">
        <v>211.68</v>
      </c>
      <c r="EJ352" s="22">
        <f t="shared" si="1326"/>
        <v>108.4481786976792</v>
      </c>
      <c r="EK352" s="40" t="s">
        <v>158</v>
      </c>
      <c r="EL352" s="19">
        <v>36.146830000000001</v>
      </c>
      <c r="EM352" s="19">
        <v>26.15652</v>
      </c>
      <c r="EN352" s="146">
        <f t="shared" si="1315"/>
        <v>4692.2136894915257</v>
      </c>
      <c r="EO352" s="146">
        <f t="shared" si="1316"/>
        <v>6187.5863712</v>
      </c>
      <c r="EP352" s="146"/>
      <c r="EQ352" s="21">
        <f t="shared" si="1356"/>
        <v>75.832698050589528</v>
      </c>
      <c r="ER352" s="21"/>
      <c r="ES352" s="21">
        <f t="shared" si="1366"/>
        <v>8010.4989963000007</v>
      </c>
      <c r="ET352" s="21"/>
      <c r="EU352" s="19">
        <f t="shared" si="1319"/>
        <v>8550.8941047999997</v>
      </c>
      <c r="EV352" s="21"/>
      <c r="EW352" s="39"/>
      <c r="EX352" s="39">
        <f t="shared" si="1357"/>
        <v>0</v>
      </c>
      <c r="EY352" s="39">
        <f t="shared" si="1367"/>
        <v>0</v>
      </c>
      <c r="EZ352" s="39"/>
      <c r="FA352" s="39"/>
      <c r="FB352" s="39"/>
      <c r="FC352" s="39"/>
      <c r="FD352" s="39"/>
      <c r="FE352" s="166"/>
      <c r="FF352" s="166"/>
      <c r="FG352" s="39"/>
      <c r="FH352" s="39"/>
      <c r="FI352" s="39"/>
      <c r="FJ352" s="19">
        <f t="shared" si="1320"/>
        <v>1469.8589914372885</v>
      </c>
      <c r="FK352" s="19">
        <f t="shared" si="1321"/>
        <v>1495.3726817084739</v>
      </c>
      <c r="FL352" s="19">
        <f t="shared" si="1322"/>
        <v>2965.2316731457622</v>
      </c>
      <c r="FM352" s="19">
        <v>33.664999999999999</v>
      </c>
      <c r="FN352" s="19">
        <v>24.567</v>
      </c>
      <c r="FO352" s="22">
        <v>258.18</v>
      </c>
      <c r="FP352" s="22">
        <v>263.95</v>
      </c>
      <c r="FQ352" s="22"/>
      <c r="FR352" s="22">
        <v>261.74</v>
      </c>
      <c r="FS352" s="22">
        <v>266.97000000000003</v>
      </c>
      <c r="FT352" s="22"/>
      <c r="FU352" s="40" t="s">
        <v>631</v>
      </c>
      <c r="FV352" s="19"/>
      <c r="FW352" s="19"/>
      <c r="FX352" s="19"/>
      <c r="FY352" s="19"/>
      <c r="FZ352" s="19"/>
      <c r="GA352" s="19"/>
      <c r="GB352" s="19"/>
      <c r="GC352" s="20"/>
      <c r="GD352" s="20"/>
      <c r="GE352" s="21"/>
      <c r="GF352" s="21"/>
      <c r="GG352" s="21"/>
      <c r="GH352" s="21"/>
      <c r="GI352" s="21"/>
      <c r="GJ352" s="21"/>
      <c r="GK352" s="21"/>
      <c r="GL352" s="21"/>
      <c r="GM352" s="19"/>
      <c r="GN352" s="19"/>
      <c r="GO352" s="22">
        <v>263.95</v>
      </c>
      <c r="GP352" s="22">
        <v>273.98</v>
      </c>
      <c r="GQ352" s="22"/>
      <c r="GR352" s="22">
        <v>266.97000000000003</v>
      </c>
      <c r="GS352" s="22">
        <v>277.11</v>
      </c>
      <c r="GT352" s="22"/>
      <c r="GU352" s="43" t="s">
        <v>631</v>
      </c>
      <c r="GV352" s="19"/>
      <c r="GW352" s="19"/>
      <c r="GX352" s="19"/>
      <c r="GY352" s="19"/>
      <c r="GZ352" s="23"/>
      <c r="HA352" s="22">
        <v>273.98</v>
      </c>
      <c r="HB352" s="22">
        <v>284.94</v>
      </c>
      <c r="HC352" s="22"/>
      <c r="HD352" s="22">
        <v>277.11</v>
      </c>
      <c r="HE352" s="22">
        <v>288.2</v>
      </c>
      <c r="HF352" s="22"/>
      <c r="HG352" s="233" t="s">
        <v>631</v>
      </c>
    </row>
    <row r="353" spans="2:215" ht="25.5">
      <c r="B353" s="10" t="s">
        <v>476</v>
      </c>
      <c r="C353" s="174" t="s">
        <v>477</v>
      </c>
      <c r="D353" s="73"/>
      <c r="E353" s="73"/>
      <c r="F353" s="74"/>
      <c r="G353" s="74"/>
      <c r="H353" s="74"/>
      <c r="I353" s="73"/>
      <c r="J353" s="74"/>
      <c r="K353" s="74"/>
      <c r="L353" s="74"/>
      <c r="M353" s="191"/>
      <c r="N353" s="191"/>
      <c r="O353" s="74"/>
      <c r="P353" s="74"/>
      <c r="Q353" s="74"/>
      <c r="R353" s="191"/>
      <c r="S353" s="74"/>
      <c r="T353" s="74"/>
      <c r="U353" s="74"/>
      <c r="V353" s="52"/>
      <c r="W353" s="52"/>
      <c r="X353" s="52"/>
      <c r="Y353" s="52"/>
      <c r="Z353" s="22"/>
      <c r="AA353" s="22"/>
      <c r="AB353" s="22"/>
      <c r="AC353" s="22"/>
      <c r="AD353" s="22"/>
      <c r="AE353" s="22"/>
      <c r="AF353" s="22"/>
      <c r="AG353" s="22">
        <f t="shared" si="1361"/>
        <v>0</v>
      </c>
      <c r="AH353" s="22"/>
      <c r="AI353" s="22"/>
      <c r="AJ353" s="52"/>
      <c r="AK353" s="22"/>
      <c r="AL353" s="22"/>
      <c r="AM353" s="22"/>
      <c r="AN353" s="22"/>
      <c r="AO353" s="22"/>
      <c r="AP353" s="22"/>
      <c r="AQ353" s="22"/>
      <c r="AR353" s="22"/>
      <c r="AS353" s="22"/>
      <c r="AT353" s="22"/>
      <c r="AU353" s="22">
        <f t="shared" si="1324"/>
        <v>0</v>
      </c>
      <c r="AV353" s="77"/>
      <c r="AW353" s="77"/>
      <c r="AX353" s="78"/>
      <c r="AY353" s="22">
        <f t="shared" si="1340"/>
        <v>0</v>
      </c>
      <c r="AZ353" s="22"/>
      <c r="BA353" s="22"/>
      <c r="BB353" s="22"/>
      <c r="BC353" s="22"/>
      <c r="BD353" s="22"/>
      <c r="BE353" s="22">
        <f t="shared" si="1341"/>
        <v>0</v>
      </c>
      <c r="BF353" s="22"/>
      <c r="BG353" s="22"/>
      <c r="BH353" s="22">
        <f t="shared" si="1342"/>
        <v>0</v>
      </c>
      <c r="BI353" s="22"/>
      <c r="BJ353" s="40"/>
      <c r="BK353" s="19"/>
      <c r="BL353" s="19"/>
      <c r="BM353" s="19"/>
      <c r="BN353" s="19"/>
      <c r="BO353" s="19"/>
      <c r="BP353" s="19"/>
      <c r="BQ353" s="19"/>
      <c r="BR353" s="19"/>
      <c r="BS353" s="19"/>
      <c r="BT353" s="19"/>
      <c r="BU353" s="19"/>
      <c r="BV353" s="19"/>
      <c r="BW353" s="19"/>
      <c r="BX353" s="19"/>
      <c r="BY353" s="19"/>
      <c r="BZ353" s="19"/>
      <c r="CA353" s="19"/>
      <c r="CB353" s="19"/>
      <c r="CC353" s="19"/>
      <c r="CD353" s="19"/>
      <c r="CE353" s="48"/>
      <c r="CF353" s="48"/>
      <c r="CG353" s="48"/>
      <c r="CH353" s="48"/>
      <c r="CI353" s="48"/>
      <c r="CJ353" s="48"/>
      <c r="CK353" s="48"/>
      <c r="CL353" s="48"/>
      <c r="CM353" s="48"/>
      <c r="CN353" s="48"/>
      <c r="CO353" s="48"/>
      <c r="CP353" s="48"/>
      <c r="CQ353" s="48"/>
      <c r="CR353" s="48"/>
      <c r="CS353" s="48"/>
      <c r="CT353" s="48"/>
      <c r="CU353" s="48"/>
      <c r="CV353" s="48"/>
      <c r="CW353" s="19"/>
      <c r="CX353" s="19"/>
      <c r="CY353" s="19"/>
      <c r="CZ353" s="19"/>
      <c r="DA353" s="21"/>
      <c r="DB353" s="21"/>
      <c r="DC353" s="79"/>
      <c r="DD353" s="79"/>
      <c r="DE353" s="79"/>
      <c r="DF353" s="79"/>
      <c r="DG353" s="79"/>
      <c r="DH353" s="51"/>
      <c r="DI353" s="39"/>
      <c r="DJ353" s="80"/>
      <c r="DK353" s="39"/>
      <c r="DL353" s="39"/>
      <c r="DM353" s="48"/>
      <c r="DN353" s="39"/>
      <c r="DO353" s="39"/>
      <c r="DP353" s="39"/>
      <c r="DQ353" s="39"/>
      <c r="DR353" s="39"/>
      <c r="DS353" s="39">
        <f>+AF352*1.18</f>
        <v>250.9624</v>
      </c>
      <c r="DT353" s="39"/>
      <c r="DU353" s="19">
        <f t="shared" si="1353"/>
        <v>0</v>
      </c>
      <c r="DV353" s="40">
        <f t="shared" ref="DV353:DV359" si="1377">+(BG353*AZ353)/1.18</f>
        <v>0</v>
      </c>
      <c r="DW353" s="40">
        <f t="shared" si="1363"/>
        <v>0</v>
      </c>
      <c r="DX353" s="46"/>
      <c r="DY353" s="21">
        <f t="shared" si="1327"/>
        <v>0</v>
      </c>
      <c r="DZ353" s="19">
        <f t="shared" si="1354"/>
        <v>0</v>
      </c>
      <c r="EA353" s="19">
        <f t="shared" si="1355"/>
        <v>0</v>
      </c>
      <c r="EB353" s="19"/>
      <c r="EC353" s="48">
        <f t="shared" si="1364"/>
        <v>0</v>
      </c>
      <c r="ED353" s="48">
        <f t="shared" si="1365"/>
        <v>0</v>
      </c>
      <c r="EE353" s="22"/>
      <c r="EF353" s="22"/>
      <c r="EG353" s="22">
        <f t="shared" si="1325"/>
        <v>0</v>
      </c>
      <c r="EH353" s="22"/>
      <c r="EI353" s="22"/>
      <c r="EJ353" s="22">
        <f t="shared" si="1326"/>
        <v>0</v>
      </c>
      <c r="EK353" s="40"/>
      <c r="EL353" s="19"/>
      <c r="EM353" s="19"/>
      <c r="EN353" s="146">
        <f t="shared" si="1315"/>
        <v>0</v>
      </c>
      <c r="EO353" s="146">
        <f t="shared" si="1316"/>
        <v>0</v>
      </c>
      <c r="EP353" s="146"/>
      <c r="EQ353" s="21">
        <f t="shared" si="1356"/>
        <v>0</v>
      </c>
      <c r="ER353" s="21"/>
      <c r="ES353" s="21">
        <f t="shared" si="1366"/>
        <v>0</v>
      </c>
      <c r="ET353" s="21"/>
      <c r="EU353" s="19">
        <f t="shared" si="1319"/>
        <v>0</v>
      </c>
      <c r="EV353" s="21"/>
      <c r="EW353" s="39"/>
      <c r="EX353" s="39">
        <f t="shared" si="1357"/>
        <v>0</v>
      </c>
      <c r="EY353" s="39">
        <f t="shared" si="1367"/>
        <v>0</v>
      </c>
      <c r="EZ353" s="39"/>
      <c r="FA353" s="39"/>
      <c r="FB353" s="39"/>
      <c r="FC353" s="39"/>
      <c r="FD353" s="39"/>
      <c r="FE353" s="166"/>
      <c r="FF353" s="166"/>
      <c r="FG353" s="39"/>
      <c r="FH353" s="39"/>
      <c r="FI353" s="39"/>
      <c r="FJ353" s="19">
        <f t="shared" si="1320"/>
        <v>0</v>
      </c>
      <c r="FK353" s="19">
        <f t="shared" si="1321"/>
        <v>0</v>
      </c>
      <c r="FL353" s="19">
        <f t="shared" si="1322"/>
        <v>0</v>
      </c>
      <c r="FM353" s="19"/>
      <c r="FN353" s="19"/>
      <c r="FO353" s="22"/>
      <c r="FP353" s="22"/>
      <c r="FQ353" s="22"/>
      <c r="FR353" s="22"/>
      <c r="FS353" s="22"/>
      <c r="FT353" s="22"/>
      <c r="FU353" s="40"/>
      <c r="FV353" s="19"/>
      <c r="FW353" s="19"/>
      <c r="FX353" s="19"/>
      <c r="FY353" s="19"/>
      <c r="FZ353" s="19"/>
      <c r="GA353" s="19"/>
      <c r="GB353" s="19"/>
      <c r="GC353" s="20"/>
      <c r="GD353" s="20"/>
      <c r="GE353" s="21"/>
      <c r="GF353" s="21"/>
      <c r="GG353" s="21"/>
      <c r="GH353" s="21"/>
      <c r="GI353" s="21"/>
      <c r="GJ353" s="21"/>
      <c r="GK353" s="21"/>
      <c r="GL353" s="21"/>
      <c r="GM353" s="19"/>
      <c r="GN353" s="19"/>
      <c r="GO353" s="22"/>
      <c r="GP353" s="22"/>
      <c r="GQ353" s="22"/>
      <c r="GR353" s="22"/>
      <c r="GS353" s="22"/>
      <c r="GT353" s="22"/>
      <c r="GU353" s="43"/>
      <c r="GV353" s="19"/>
      <c r="GW353" s="19"/>
      <c r="GX353" s="19"/>
      <c r="GY353" s="19"/>
      <c r="GZ353" s="23"/>
      <c r="HA353" s="22"/>
      <c r="HB353" s="22"/>
      <c r="HC353" s="22"/>
      <c r="HD353" s="22"/>
      <c r="HE353" s="22"/>
      <c r="HF353" s="22"/>
      <c r="HG353" s="233"/>
    </row>
    <row r="354" spans="2:215" ht="15.75">
      <c r="B354" s="10"/>
      <c r="C354" s="184" t="s">
        <v>131</v>
      </c>
      <c r="D354" s="73"/>
      <c r="E354" s="73"/>
      <c r="F354" s="74"/>
      <c r="G354" s="74"/>
      <c r="H354" s="74"/>
      <c r="I354" s="73"/>
      <c r="J354" s="74"/>
      <c r="K354" s="74"/>
      <c r="L354" s="74"/>
      <c r="M354" s="191"/>
      <c r="N354" s="191"/>
      <c r="O354" s="74"/>
      <c r="P354" s="74"/>
      <c r="Q354" s="74"/>
      <c r="R354" s="191"/>
      <c r="S354" s="74"/>
      <c r="T354" s="74"/>
      <c r="U354" s="74"/>
      <c r="V354" s="52"/>
      <c r="W354" s="52"/>
      <c r="X354" s="52"/>
      <c r="Y354" s="52"/>
      <c r="Z354" s="22"/>
      <c r="AA354" s="22"/>
      <c r="AB354" s="22"/>
      <c r="AC354" s="22"/>
      <c r="AD354" s="22">
        <v>56.15</v>
      </c>
      <c r="AE354" s="22">
        <f t="shared" ref="AE354:AE364" si="1378">+IF(AC354=0,,AF354/AC354*100)</f>
        <v>0</v>
      </c>
      <c r="AF354" s="22">
        <v>56.15</v>
      </c>
      <c r="AG354" s="22">
        <f t="shared" si="1361"/>
        <v>100</v>
      </c>
      <c r="AH354" s="22"/>
      <c r="AI354" s="22"/>
      <c r="AJ354" s="52"/>
      <c r="AK354" s="22"/>
      <c r="AL354" s="22"/>
      <c r="AM354" s="22"/>
      <c r="AN354" s="22"/>
      <c r="AO354" s="22"/>
      <c r="AP354" s="22"/>
      <c r="AQ354" s="22"/>
      <c r="AR354" s="22">
        <v>50.89</v>
      </c>
      <c r="AS354" s="22">
        <f t="shared" ref="AS354:AS359" si="1379">+IF(AQ354=0,,AT354/AQ354*100)</f>
        <v>0</v>
      </c>
      <c r="AT354" s="22">
        <v>56.33</v>
      </c>
      <c r="AU354" s="22">
        <f t="shared" si="1324"/>
        <v>110.68972293181372</v>
      </c>
      <c r="AV354" s="77"/>
      <c r="AW354" s="77"/>
      <c r="AX354" s="239" t="s">
        <v>478</v>
      </c>
      <c r="AY354" s="22">
        <f t="shared" si="1340"/>
        <v>427.61799999999994</v>
      </c>
      <c r="AZ354" s="22">
        <f>+[3]БПр!$AC$618/1000</f>
        <v>278.52999999999997</v>
      </c>
      <c r="BA354" s="22">
        <f>+[3]БПр!$AB$618/1000</f>
        <v>18.885000000000002</v>
      </c>
      <c r="BB354" s="22">
        <f>+[3]БПр!$AD$618/1000</f>
        <v>130.203</v>
      </c>
      <c r="BC354" s="22">
        <v>56.15</v>
      </c>
      <c r="BD354" s="22">
        <v>56.15</v>
      </c>
      <c r="BE354" s="22">
        <f t="shared" si="1341"/>
        <v>100</v>
      </c>
      <c r="BF354" s="22">
        <v>56.33</v>
      </c>
      <c r="BG354" s="22">
        <v>58.69</v>
      </c>
      <c r="BH354" s="22">
        <f t="shared" si="1342"/>
        <v>104.189597017575</v>
      </c>
      <c r="BI354" s="22"/>
      <c r="BJ354" s="241" t="s">
        <v>479</v>
      </c>
      <c r="BK354" s="19"/>
      <c r="BL354" s="19"/>
      <c r="BM354" s="19"/>
      <c r="BN354" s="19"/>
      <c r="BO354" s="19"/>
      <c r="BP354" s="19"/>
      <c r="BQ354" s="19"/>
      <c r="BR354" s="19"/>
      <c r="BS354" s="19"/>
      <c r="BT354" s="19"/>
      <c r="BU354" s="19"/>
      <c r="BV354" s="19"/>
      <c r="BW354" s="19"/>
      <c r="BX354" s="19"/>
      <c r="BY354" s="19"/>
      <c r="BZ354" s="19"/>
      <c r="CA354" s="19"/>
      <c r="CB354" s="19"/>
      <c r="CC354" s="19"/>
      <c r="CD354" s="19"/>
      <c r="CE354" s="48"/>
      <c r="CF354" s="48"/>
      <c r="CG354" s="48"/>
      <c r="CH354" s="48"/>
      <c r="CI354" s="48"/>
      <c r="CJ354" s="48"/>
      <c r="CK354" s="48"/>
      <c r="CL354" s="48"/>
      <c r="CM354" s="48"/>
      <c r="CN354" s="48"/>
      <c r="CO354" s="48"/>
      <c r="CP354" s="48"/>
      <c r="CQ354" s="48"/>
      <c r="CR354" s="48"/>
      <c r="CS354" s="48"/>
      <c r="CT354" s="48"/>
      <c r="CU354" s="48"/>
      <c r="CV354" s="48"/>
      <c r="CW354" s="19"/>
      <c r="CX354" s="19"/>
      <c r="CY354" s="19"/>
      <c r="CZ354" s="19"/>
      <c r="DA354" s="21"/>
      <c r="DB354" s="21"/>
      <c r="DC354" s="79"/>
      <c r="DD354" s="79"/>
      <c r="DE354" s="79"/>
      <c r="DF354" s="79"/>
      <c r="DG354" s="79"/>
      <c r="DH354" s="51"/>
      <c r="DI354" s="39"/>
      <c r="DJ354" s="80"/>
      <c r="DK354" s="39"/>
      <c r="DL354" s="39"/>
      <c r="DM354" s="48"/>
      <c r="DN354" s="39"/>
      <c r="DO354" s="39"/>
      <c r="DP354" s="39"/>
      <c r="DQ354" s="39"/>
      <c r="DR354" s="39"/>
      <c r="DS354" s="166">
        <f t="shared" ref="DS354:DT357" si="1380">+BC354*1.18</f>
        <v>66.256999999999991</v>
      </c>
      <c r="DT354" s="166">
        <f t="shared" si="1380"/>
        <v>66.256999999999991</v>
      </c>
      <c r="DU354" s="19">
        <f t="shared" si="1353"/>
        <v>13296.266864406778</v>
      </c>
      <c r="DV354" s="40">
        <f t="shared" si="1377"/>
        <v>13853.326864406779</v>
      </c>
      <c r="DW354" s="40">
        <f t="shared" si="1363"/>
        <v>15639.459499999997</v>
      </c>
      <c r="DX354" s="46"/>
      <c r="DY354" s="21">
        <f t="shared" si="1327"/>
        <v>88.579319920914031</v>
      </c>
      <c r="DZ354" s="19">
        <f t="shared" si="1354"/>
        <v>24.010750699999996</v>
      </c>
      <c r="EA354" s="19">
        <f t="shared" si="1355"/>
        <v>24.010750699999996</v>
      </c>
      <c r="EB354" s="19"/>
      <c r="EC354" s="48">
        <f>+(BC354-BF354/1.18)*AZ354</f>
        <v>2343.1926355932205</v>
      </c>
      <c r="ED354" s="48">
        <f>+(BD354-BG354/1.18)*AZ354</f>
        <v>1786.1326355932204</v>
      </c>
      <c r="EE354" s="22">
        <v>56.15</v>
      </c>
      <c r="EF354" s="22">
        <v>59.52</v>
      </c>
      <c r="EG354" s="22">
        <f t="shared" si="1325"/>
        <v>106.00178094390027</v>
      </c>
      <c r="EH354" s="22">
        <v>58.69</v>
      </c>
      <c r="EI354" s="22">
        <v>63.65</v>
      </c>
      <c r="EJ354" s="22">
        <f t="shared" si="1326"/>
        <v>108.45118418810699</v>
      </c>
      <c r="EK354" s="241" t="s">
        <v>480</v>
      </c>
      <c r="EL354" s="19">
        <v>435.608</v>
      </c>
      <c r="EM354" s="19">
        <v>290.57299999999998</v>
      </c>
      <c r="EN354" s="146">
        <f t="shared" si="1315"/>
        <v>15673.704618644066</v>
      </c>
      <c r="EO354" s="146">
        <f t="shared" si="1316"/>
        <v>17294.90496</v>
      </c>
      <c r="EP354" s="146"/>
      <c r="EQ354" s="21">
        <f t="shared" si="1356"/>
        <v>90.626139055950418</v>
      </c>
      <c r="ER354" s="21"/>
      <c r="ES354" s="21">
        <f t="shared" si="1366"/>
        <v>24459.389199999998</v>
      </c>
      <c r="ET354" s="21"/>
      <c r="EU354" s="19">
        <f t="shared" si="1319"/>
        <v>25927.388160000002</v>
      </c>
      <c r="EV354" s="21"/>
      <c r="EW354" s="39"/>
      <c r="EX354" s="39">
        <f t="shared" si="1357"/>
        <v>24010.750699999997</v>
      </c>
      <c r="EY354" s="39">
        <f t="shared" si="1367"/>
        <v>25451.823359999999</v>
      </c>
      <c r="EZ354" s="39"/>
      <c r="FA354" s="39"/>
      <c r="FB354" s="39"/>
      <c r="FC354" s="39"/>
      <c r="FD354" s="39"/>
      <c r="FE354" s="166"/>
      <c r="FF354" s="166"/>
      <c r="FG354" s="39"/>
      <c r="FH354" s="39"/>
      <c r="FI354" s="39"/>
      <c r="FJ354" s="19">
        <f t="shared" si="1320"/>
        <v>1863.3609245762714</v>
      </c>
      <c r="FK354" s="19">
        <f t="shared" si="1321"/>
        <v>1621.2003413559328</v>
      </c>
      <c r="FL354" s="19">
        <f t="shared" si="1322"/>
        <v>3484.5612659322042</v>
      </c>
      <c r="FM354" s="19">
        <v>435.608</v>
      </c>
      <c r="FN354" s="19">
        <v>290.57299999999998</v>
      </c>
      <c r="FO354" s="22">
        <v>68.569999999999993</v>
      </c>
      <c r="FP354" s="22">
        <v>69.91</v>
      </c>
      <c r="FQ354" s="22"/>
      <c r="FR354" s="22">
        <v>82.28</v>
      </c>
      <c r="FS354" s="22">
        <v>83.89</v>
      </c>
      <c r="FT354" s="22"/>
      <c r="FU354" s="241" t="s">
        <v>702</v>
      </c>
      <c r="FV354" s="19"/>
      <c r="FW354" s="19"/>
      <c r="FX354" s="19"/>
      <c r="FY354" s="19"/>
      <c r="FZ354" s="19"/>
      <c r="GA354" s="19"/>
      <c r="GB354" s="19"/>
      <c r="GC354" s="20"/>
      <c r="GD354" s="20"/>
      <c r="GE354" s="21"/>
      <c r="GF354" s="21"/>
      <c r="GG354" s="21"/>
      <c r="GH354" s="21"/>
      <c r="GI354" s="21"/>
      <c r="GJ354" s="21"/>
      <c r="GK354" s="21"/>
      <c r="GL354" s="21"/>
      <c r="GM354" s="19"/>
      <c r="GN354" s="19"/>
      <c r="GO354" s="22">
        <v>69.91</v>
      </c>
      <c r="GP354" s="22">
        <v>72.13</v>
      </c>
      <c r="GQ354" s="22"/>
      <c r="GR354" s="22">
        <v>83.89</v>
      </c>
      <c r="GS354" s="22">
        <v>86.56</v>
      </c>
      <c r="GT354" s="22"/>
      <c r="GU354" s="241" t="s">
        <v>702</v>
      </c>
      <c r="GV354" s="19"/>
      <c r="GW354" s="19"/>
      <c r="GX354" s="19"/>
      <c r="GY354" s="19"/>
      <c r="GZ354" s="23"/>
      <c r="HA354" s="22">
        <v>72.13</v>
      </c>
      <c r="HB354" s="22">
        <v>74.13</v>
      </c>
      <c r="HC354" s="22"/>
      <c r="HD354" s="22">
        <v>86.56</v>
      </c>
      <c r="HE354" s="22">
        <v>88.96</v>
      </c>
      <c r="HF354" s="22"/>
      <c r="HG354" s="241" t="s">
        <v>702</v>
      </c>
    </row>
    <row r="355" spans="2:215" ht="15.75">
      <c r="B355" s="10"/>
      <c r="C355" s="184" t="s">
        <v>249</v>
      </c>
      <c r="D355" s="73"/>
      <c r="E355" s="73"/>
      <c r="F355" s="74"/>
      <c r="G355" s="74"/>
      <c r="H355" s="74"/>
      <c r="I355" s="73"/>
      <c r="J355" s="74"/>
      <c r="K355" s="74"/>
      <c r="L355" s="74"/>
      <c r="M355" s="191"/>
      <c r="N355" s="191"/>
      <c r="O355" s="74"/>
      <c r="P355" s="74"/>
      <c r="Q355" s="74"/>
      <c r="R355" s="191"/>
      <c r="S355" s="74"/>
      <c r="T355" s="74"/>
      <c r="U355" s="74"/>
      <c r="V355" s="52"/>
      <c r="W355" s="52"/>
      <c r="X355" s="52"/>
      <c r="Y355" s="52"/>
      <c r="Z355" s="22"/>
      <c r="AA355" s="22"/>
      <c r="AB355" s="22"/>
      <c r="AC355" s="22"/>
      <c r="AD355" s="22">
        <v>87.06</v>
      </c>
      <c r="AE355" s="22">
        <f t="shared" si="1378"/>
        <v>0</v>
      </c>
      <c r="AF355" s="22">
        <v>87.06</v>
      </c>
      <c r="AG355" s="22">
        <f t="shared" si="1361"/>
        <v>100</v>
      </c>
      <c r="AH355" s="22"/>
      <c r="AI355" s="22"/>
      <c r="AJ355" s="52"/>
      <c r="AK355" s="22"/>
      <c r="AL355" s="22"/>
      <c r="AM355" s="22"/>
      <c r="AN355" s="22"/>
      <c r="AO355" s="22"/>
      <c r="AP355" s="22"/>
      <c r="AQ355" s="22"/>
      <c r="AR355" s="22">
        <v>56.05</v>
      </c>
      <c r="AS355" s="22">
        <f t="shared" si="1379"/>
        <v>0</v>
      </c>
      <c r="AT355" s="22">
        <v>62.03</v>
      </c>
      <c r="AU355" s="22">
        <f t="shared" si="1324"/>
        <v>110.66904549509367</v>
      </c>
      <c r="AV355" s="77"/>
      <c r="AW355" s="77"/>
      <c r="AX355" s="239"/>
      <c r="AY355" s="22">
        <f t="shared" si="1340"/>
        <v>287.86400000000003</v>
      </c>
      <c r="AZ355" s="22">
        <f>+[4]БПр!$O$822/1000</f>
        <v>204.09</v>
      </c>
      <c r="BA355" s="22">
        <f>+[4]БПр!$N$822/1000</f>
        <v>22.19</v>
      </c>
      <c r="BB355" s="22">
        <f>+([4]БПр!$P$822+[4]БПр!$L$822)/1000</f>
        <v>61.58400000000001</v>
      </c>
      <c r="BC355" s="22">
        <v>87.06</v>
      </c>
      <c r="BD355" s="22">
        <v>87.06</v>
      </c>
      <c r="BE355" s="22">
        <f t="shared" si="1341"/>
        <v>100</v>
      </c>
      <c r="BF355" s="22">
        <v>62.03</v>
      </c>
      <c r="BG355" s="22">
        <v>64.63</v>
      </c>
      <c r="BH355" s="22">
        <f t="shared" si="1342"/>
        <v>104.19152023214573</v>
      </c>
      <c r="BI355" s="22"/>
      <c r="BJ355" s="241"/>
      <c r="BK355" s="19"/>
      <c r="BL355" s="19"/>
      <c r="BM355" s="19"/>
      <c r="BN355" s="19"/>
      <c r="BO355" s="19"/>
      <c r="BP355" s="19"/>
      <c r="BQ355" s="19"/>
      <c r="BR355" s="19"/>
      <c r="BS355" s="19"/>
      <c r="BT355" s="19"/>
      <c r="BU355" s="19"/>
      <c r="BV355" s="19"/>
      <c r="BW355" s="19"/>
      <c r="BX355" s="19"/>
      <c r="BY355" s="19"/>
      <c r="BZ355" s="19"/>
      <c r="CA355" s="19"/>
      <c r="CB355" s="19"/>
      <c r="CC355" s="19"/>
      <c r="CD355" s="19"/>
      <c r="CE355" s="48"/>
      <c r="CF355" s="48"/>
      <c r="CG355" s="48"/>
      <c r="CH355" s="48"/>
      <c r="CI355" s="48"/>
      <c r="CJ355" s="48"/>
      <c r="CK355" s="48"/>
      <c r="CL355" s="48"/>
      <c r="CM355" s="48"/>
      <c r="CN355" s="48"/>
      <c r="CO355" s="48"/>
      <c r="CP355" s="48"/>
      <c r="CQ355" s="48"/>
      <c r="CR355" s="48"/>
      <c r="CS355" s="48"/>
      <c r="CT355" s="48"/>
      <c r="CU355" s="48"/>
      <c r="CV355" s="48"/>
      <c r="CW355" s="19"/>
      <c r="CX355" s="19"/>
      <c r="CY355" s="19"/>
      <c r="CZ355" s="19"/>
      <c r="DA355" s="21"/>
      <c r="DB355" s="21"/>
      <c r="DC355" s="79"/>
      <c r="DD355" s="79"/>
      <c r="DE355" s="79"/>
      <c r="DF355" s="79"/>
      <c r="DG355" s="79"/>
      <c r="DH355" s="51"/>
      <c r="DI355" s="39"/>
      <c r="DJ355" s="80"/>
      <c r="DK355" s="39"/>
      <c r="DL355" s="39"/>
      <c r="DM355" s="48"/>
      <c r="DN355" s="39"/>
      <c r="DO355" s="39"/>
      <c r="DP355" s="39"/>
      <c r="DQ355" s="39"/>
      <c r="DR355" s="39"/>
      <c r="DS355" s="166">
        <f t="shared" si="1380"/>
        <v>102.7308</v>
      </c>
      <c r="DT355" s="166">
        <f t="shared" si="1380"/>
        <v>102.7308</v>
      </c>
      <c r="DU355" s="19">
        <f t="shared" si="1353"/>
        <v>10728.561610169492</v>
      </c>
      <c r="DV355" s="40">
        <f t="shared" si="1377"/>
        <v>11178.251440677966</v>
      </c>
      <c r="DW355" s="40">
        <f t="shared" si="1363"/>
        <v>17768.075400000002</v>
      </c>
      <c r="DX355" s="46"/>
      <c r="DY355" s="21">
        <f t="shared" si="1327"/>
        <v>62.911999127817552</v>
      </c>
      <c r="DZ355" s="19">
        <f t="shared" si="1354"/>
        <v>25.061439840000002</v>
      </c>
      <c r="EA355" s="19">
        <f t="shared" si="1355"/>
        <v>25.061439840000002</v>
      </c>
      <c r="EB355" s="19"/>
      <c r="EC355" s="48">
        <f>+(BC355-BF355/1.18)*AZ355</f>
        <v>7039.5137898305084</v>
      </c>
      <c r="ED355" s="48">
        <f>+(BD355-BG355/1.18)*AZ355</f>
        <v>6589.8239593220342</v>
      </c>
      <c r="EE355" s="22">
        <v>87.06</v>
      </c>
      <c r="EF355" s="22">
        <v>92.28</v>
      </c>
      <c r="EG355" s="22">
        <f t="shared" si="1325"/>
        <v>105.99586492074431</v>
      </c>
      <c r="EH355" s="22">
        <v>64.63</v>
      </c>
      <c r="EI355" s="22">
        <v>70.09</v>
      </c>
      <c r="EJ355" s="22">
        <f t="shared" si="1326"/>
        <v>108.44808912269845</v>
      </c>
      <c r="EK355" s="241"/>
      <c r="EL355" s="19">
        <v>289.25</v>
      </c>
      <c r="EM355" s="19">
        <v>209.02</v>
      </c>
      <c r="EN355" s="146">
        <f t="shared" si="1315"/>
        <v>12415.433728813561</v>
      </c>
      <c r="EO355" s="146">
        <f t="shared" si="1316"/>
        <v>19288.365600000001</v>
      </c>
      <c r="EP355" s="146"/>
      <c r="EQ355" s="21">
        <f t="shared" si="1356"/>
        <v>64.367474084033134</v>
      </c>
      <c r="ER355" s="21"/>
      <c r="ES355" s="21">
        <f t="shared" si="1366"/>
        <v>25182.105</v>
      </c>
      <c r="ET355" s="21"/>
      <c r="EU355" s="19">
        <f t="shared" si="1319"/>
        <v>26691.99</v>
      </c>
      <c r="EV355" s="21"/>
      <c r="EW355" s="39"/>
      <c r="EX355" s="39">
        <f t="shared" si="1357"/>
        <v>25061.439840000003</v>
      </c>
      <c r="EY355" s="39">
        <f t="shared" si="1367"/>
        <v>26564.089920000002</v>
      </c>
      <c r="EZ355" s="39"/>
      <c r="FA355" s="39"/>
      <c r="FB355" s="39"/>
      <c r="FC355" s="39"/>
      <c r="FD355" s="39"/>
      <c r="FE355" s="166"/>
      <c r="FF355" s="166"/>
      <c r="FG355" s="39"/>
      <c r="FH355" s="39"/>
      <c r="FI355" s="39"/>
      <c r="FJ355" s="19">
        <f t="shared" si="1320"/>
        <v>6749.0078101694926</v>
      </c>
      <c r="FK355" s="19">
        <f t="shared" si="1321"/>
        <v>6872.9318711864389</v>
      </c>
      <c r="FL355" s="19">
        <f t="shared" si="1322"/>
        <v>13621.939681355932</v>
      </c>
      <c r="FM355" s="19">
        <v>655.7</v>
      </c>
      <c r="FN355" s="19">
        <v>289.25</v>
      </c>
      <c r="FO355" s="22">
        <v>103.67</v>
      </c>
      <c r="FP355" s="22">
        <v>105.79</v>
      </c>
      <c r="FQ355" s="22"/>
      <c r="FR355" s="22">
        <v>92.78</v>
      </c>
      <c r="FS355" s="22">
        <v>95.29</v>
      </c>
      <c r="FT355" s="22"/>
      <c r="FU355" s="241"/>
      <c r="FV355" s="19"/>
      <c r="FW355" s="19"/>
      <c r="FX355" s="19"/>
      <c r="FY355" s="19"/>
      <c r="FZ355" s="19"/>
      <c r="GA355" s="19"/>
      <c r="GB355" s="19"/>
      <c r="GC355" s="20"/>
      <c r="GD355" s="20"/>
      <c r="GE355" s="21"/>
      <c r="GF355" s="21"/>
      <c r="GG355" s="21"/>
      <c r="GH355" s="21"/>
      <c r="GI355" s="21"/>
      <c r="GJ355" s="21"/>
      <c r="GK355" s="21"/>
      <c r="GL355" s="21"/>
      <c r="GM355" s="19"/>
      <c r="GN355" s="19"/>
      <c r="GO355" s="22">
        <v>105.79</v>
      </c>
      <c r="GP355" s="22">
        <v>109.22</v>
      </c>
      <c r="GQ355" s="22"/>
      <c r="GR355" s="22">
        <v>95.29</v>
      </c>
      <c r="GS355" s="22">
        <v>99.1</v>
      </c>
      <c r="GT355" s="22"/>
      <c r="GU355" s="241"/>
      <c r="GV355" s="19"/>
      <c r="GW355" s="19"/>
      <c r="GX355" s="19"/>
      <c r="GY355" s="19"/>
      <c r="GZ355" s="23"/>
      <c r="HA355" s="22">
        <v>109.22</v>
      </c>
      <c r="HB355" s="22">
        <v>112.29</v>
      </c>
      <c r="HC355" s="22"/>
      <c r="HD355" s="22">
        <v>99.1</v>
      </c>
      <c r="HE355" s="22">
        <v>103.06</v>
      </c>
      <c r="HF355" s="22"/>
      <c r="HG355" s="241"/>
    </row>
    <row r="356" spans="2:215" ht="15.75">
      <c r="B356" s="10"/>
      <c r="C356" s="184" t="s">
        <v>134</v>
      </c>
      <c r="D356" s="73"/>
      <c r="E356" s="73"/>
      <c r="F356" s="74"/>
      <c r="G356" s="74"/>
      <c r="H356" s="74"/>
      <c r="I356" s="73"/>
      <c r="J356" s="74"/>
      <c r="K356" s="74"/>
      <c r="L356" s="74"/>
      <c r="M356" s="191"/>
      <c r="N356" s="191"/>
      <c r="O356" s="74"/>
      <c r="P356" s="74"/>
      <c r="Q356" s="74"/>
      <c r="R356" s="191"/>
      <c r="S356" s="74"/>
      <c r="T356" s="74"/>
      <c r="U356" s="74"/>
      <c r="V356" s="52"/>
      <c r="W356" s="52"/>
      <c r="X356" s="52"/>
      <c r="Y356" s="5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52"/>
      <c r="AK356" s="22"/>
      <c r="AL356" s="22"/>
      <c r="AM356" s="22"/>
      <c r="AN356" s="22"/>
      <c r="AO356" s="22"/>
      <c r="AP356" s="22"/>
      <c r="AQ356" s="22"/>
      <c r="AR356" s="22"/>
      <c r="AS356" s="22"/>
      <c r="AT356" s="22"/>
      <c r="AU356" s="22"/>
      <c r="AV356" s="77"/>
      <c r="AW356" s="77"/>
      <c r="AX356" s="239"/>
      <c r="AY356" s="22"/>
      <c r="AZ356" s="22"/>
      <c r="BA356" s="22"/>
      <c r="BB356" s="22"/>
      <c r="BC356" s="22"/>
      <c r="BD356" s="22"/>
      <c r="BE356" s="22"/>
      <c r="BF356" s="22"/>
      <c r="BG356" s="22"/>
      <c r="BH356" s="22"/>
      <c r="BI356" s="22"/>
      <c r="BJ356" s="241"/>
      <c r="BK356" s="19"/>
      <c r="BL356" s="19"/>
      <c r="BM356" s="19"/>
      <c r="BN356" s="19"/>
      <c r="BO356" s="19"/>
      <c r="BP356" s="19"/>
      <c r="BQ356" s="19"/>
      <c r="BR356" s="19"/>
      <c r="BS356" s="19"/>
      <c r="BT356" s="19"/>
      <c r="BU356" s="19"/>
      <c r="BV356" s="19"/>
      <c r="BW356" s="19"/>
      <c r="BX356" s="19"/>
      <c r="BY356" s="19"/>
      <c r="BZ356" s="19"/>
      <c r="CA356" s="19"/>
      <c r="CB356" s="19"/>
      <c r="CC356" s="19"/>
      <c r="CD356" s="19"/>
      <c r="CE356" s="48"/>
      <c r="CF356" s="48"/>
      <c r="CG356" s="48"/>
      <c r="CH356" s="48"/>
      <c r="CI356" s="48"/>
      <c r="CJ356" s="48"/>
      <c r="CK356" s="48"/>
      <c r="CL356" s="48"/>
      <c r="CM356" s="48"/>
      <c r="CN356" s="48"/>
      <c r="CO356" s="48"/>
      <c r="CP356" s="48"/>
      <c r="CQ356" s="48"/>
      <c r="CR356" s="48"/>
      <c r="CS356" s="48"/>
      <c r="CT356" s="48"/>
      <c r="CU356" s="48"/>
      <c r="CV356" s="48"/>
      <c r="CW356" s="19"/>
      <c r="CX356" s="19"/>
      <c r="CY356" s="19"/>
      <c r="CZ356" s="19"/>
      <c r="DA356" s="21"/>
      <c r="DB356" s="21"/>
      <c r="DC356" s="79"/>
      <c r="DD356" s="79"/>
      <c r="DE356" s="79"/>
      <c r="DF356" s="79"/>
      <c r="DG356" s="79"/>
      <c r="DH356" s="51"/>
      <c r="DI356" s="39"/>
      <c r="DJ356" s="80"/>
      <c r="DK356" s="39"/>
      <c r="DL356" s="39"/>
      <c r="DM356" s="48"/>
      <c r="DN356" s="39"/>
      <c r="DO356" s="39"/>
      <c r="DP356" s="39"/>
      <c r="DQ356" s="39"/>
      <c r="DR356" s="39"/>
      <c r="DS356" s="166"/>
      <c r="DT356" s="166"/>
      <c r="DU356" s="19"/>
      <c r="DV356" s="40"/>
      <c r="DW356" s="40"/>
      <c r="DX356" s="46"/>
      <c r="DY356" s="21"/>
      <c r="DZ356" s="19"/>
      <c r="EA356" s="19"/>
      <c r="EB356" s="19"/>
      <c r="EC356" s="48"/>
      <c r="ED356" s="48"/>
      <c r="EE356" s="22">
        <v>41.99</v>
      </c>
      <c r="EF356" s="22">
        <v>44.51</v>
      </c>
      <c r="EG356" s="22">
        <f t="shared" si="1325"/>
        <v>106.00142891164562</v>
      </c>
      <c r="EH356" s="22">
        <v>27.32</v>
      </c>
      <c r="EI356" s="22">
        <v>29.63</v>
      </c>
      <c r="EJ356" s="22">
        <f t="shared" si="1326"/>
        <v>108.45534407027817</v>
      </c>
      <c r="EK356" s="241"/>
      <c r="EL356" s="19">
        <v>37.162999999999997</v>
      </c>
      <c r="EM356" s="19">
        <v>19.847000000000001</v>
      </c>
      <c r="EN356" s="146">
        <f t="shared" si="1315"/>
        <v>498.36153389830508</v>
      </c>
      <c r="EO356" s="146">
        <f t="shared" si="1316"/>
        <v>883.38997000000006</v>
      </c>
      <c r="EP356" s="146"/>
      <c r="EQ356" s="21">
        <f t="shared" si="1356"/>
        <v>56.414669718098011</v>
      </c>
      <c r="ER356" s="21"/>
      <c r="ES356" s="21">
        <f t="shared" si="1366"/>
        <v>1560.4743699999999</v>
      </c>
      <c r="ET356" s="21"/>
      <c r="EU356" s="19">
        <f t="shared" si="1319"/>
        <v>1654.1251299999997</v>
      </c>
      <c r="EV356" s="21"/>
      <c r="EW356" s="39"/>
      <c r="EX356" s="39">
        <f t="shared" si="1357"/>
        <v>0</v>
      </c>
      <c r="EY356" s="39">
        <f t="shared" si="1367"/>
        <v>0</v>
      </c>
      <c r="EZ356" s="39"/>
      <c r="FA356" s="39"/>
      <c r="FB356" s="39"/>
      <c r="FC356" s="39"/>
      <c r="FD356" s="39"/>
      <c r="FE356" s="166"/>
      <c r="FF356" s="166"/>
      <c r="FG356" s="39"/>
      <c r="FH356" s="39"/>
      <c r="FI356" s="39"/>
      <c r="FJ356" s="19">
        <f t="shared" si="1320"/>
        <v>373.86702152542381</v>
      </c>
      <c r="FK356" s="19">
        <f t="shared" si="1321"/>
        <v>385.02843610169487</v>
      </c>
      <c r="FL356" s="19">
        <f t="shared" si="1322"/>
        <v>758.89545762711873</v>
      </c>
      <c r="FM356" s="19">
        <v>37.162999999999997</v>
      </c>
      <c r="FN356" s="19">
        <v>19.847000000000001</v>
      </c>
      <c r="FO356" s="22">
        <v>50.25</v>
      </c>
      <c r="FP356" s="22">
        <v>51.25</v>
      </c>
      <c r="FQ356" s="22"/>
      <c r="FR356" s="22">
        <v>39.229999999999997</v>
      </c>
      <c r="FS356" s="22">
        <v>40.29</v>
      </c>
      <c r="FT356" s="22"/>
      <c r="FU356" s="241"/>
      <c r="FV356" s="19"/>
      <c r="FW356" s="19"/>
      <c r="FX356" s="19"/>
      <c r="FY356" s="19"/>
      <c r="FZ356" s="19"/>
      <c r="GA356" s="19"/>
      <c r="GB356" s="19"/>
      <c r="GC356" s="20"/>
      <c r="GD356" s="20"/>
      <c r="GE356" s="21"/>
      <c r="GF356" s="21"/>
      <c r="GG356" s="21"/>
      <c r="GH356" s="21"/>
      <c r="GI356" s="21"/>
      <c r="GJ356" s="21"/>
      <c r="GK356" s="21"/>
      <c r="GL356" s="21"/>
      <c r="GM356" s="19"/>
      <c r="GN356" s="19"/>
      <c r="GO356" s="22">
        <v>51.25</v>
      </c>
      <c r="GP356" s="22">
        <v>52.91</v>
      </c>
      <c r="GQ356" s="22"/>
      <c r="GR356" s="22">
        <v>40.29</v>
      </c>
      <c r="GS356" s="22">
        <v>41.9</v>
      </c>
      <c r="GT356" s="22"/>
      <c r="GU356" s="241"/>
      <c r="GV356" s="19"/>
      <c r="GW356" s="19"/>
      <c r="GX356" s="19"/>
      <c r="GY356" s="19"/>
      <c r="GZ356" s="23"/>
      <c r="HA356" s="22">
        <v>52.91</v>
      </c>
      <c r="HB356" s="22">
        <v>54.38</v>
      </c>
      <c r="HC356" s="22"/>
      <c r="HD356" s="22">
        <v>41.9</v>
      </c>
      <c r="HE356" s="22">
        <v>43.58</v>
      </c>
      <c r="HF356" s="22"/>
      <c r="HG356" s="241"/>
    </row>
    <row r="357" spans="2:215" ht="15.75">
      <c r="B357" s="10"/>
      <c r="C357" s="184" t="s">
        <v>135</v>
      </c>
      <c r="D357" s="73"/>
      <c r="E357" s="73"/>
      <c r="F357" s="74"/>
      <c r="G357" s="74"/>
      <c r="H357" s="74"/>
      <c r="I357" s="73"/>
      <c r="J357" s="74"/>
      <c r="K357" s="74"/>
      <c r="L357" s="74"/>
      <c r="M357" s="191"/>
      <c r="N357" s="191"/>
      <c r="O357" s="74"/>
      <c r="P357" s="74"/>
      <c r="Q357" s="74"/>
      <c r="R357" s="191"/>
      <c r="S357" s="74"/>
      <c r="T357" s="74"/>
      <c r="U357" s="74"/>
      <c r="V357" s="52"/>
      <c r="W357" s="52"/>
      <c r="X357" s="52"/>
      <c r="Y357" s="52"/>
      <c r="Z357" s="22"/>
      <c r="AA357" s="22"/>
      <c r="AB357" s="22"/>
      <c r="AC357" s="22"/>
      <c r="AD357" s="22">
        <v>45.07</v>
      </c>
      <c r="AE357" s="22">
        <f t="shared" si="1378"/>
        <v>0</v>
      </c>
      <c r="AF357" s="22">
        <v>45.07</v>
      </c>
      <c r="AG357" s="22">
        <f t="shared" si="1361"/>
        <v>100</v>
      </c>
      <c r="AH357" s="22"/>
      <c r="AI357" s="22"/>
      <c r="AJ357" s="52"/>
      <c r="AK357" s="22"/>
      <c r="AL357" s="22"/>
      <c r="AM357" s="22"/>
      <c r="AN357" s="22"/>
      <c r="AO357" s="22"/>
      <c r="AP357" s="22"/>
      <c r="AQ357" s="22"/>
      <c r="AR357" s="22">
        <v>32.36</v>
      </c>
      <c r="AS357" s="22">
        <f t="shared" si="1379"/>
        <v>0</v>
      </c>
      <c r="AT357" s="22">
        <v>35.81</v>
      </c>
      <c r="AU357" s="22">
        <f t="shared" si="1324"/>
        <v>110.66131025957972</v>
      </c>
      <c r="AV357" s="77"/>
      <c r="AW357" s="77"/>
      <c r="AX357" s="239"/>
      <c r="AY357" s="22">
        <f t="shared" si="1340"/>
        <v>38.78</v>
      </c>
      <c r="AZ357" s="22"/>
      <c r="BA357" s="22">
        <f>+[4]БПр!$O$850/1000</f>
        <v>20.9</v>
      </c>
      <c r="BB357" s="22">
        <f>+[4]БПр!$P$850/1000+[4]БПр!$P$878/1000</f>
        <v>17.88</v>
      </c>
      <c r="BC357" s="22">
        <v>45.07</v>
      </c>
      <c r="BD357" s="22">
        <v>45.07</v>
      </c>
      <c r="BE357" s="22">
        <f t="shared" si="1341"/>
        <v>100</v>
      </c>
      <c r="BF357" s="22"/>
      <c r="BG357" s="22"/>
      <c r="BH357" s="22">
        <f t="shared" si="1342"/>
        <v>0</v>
      </c>
      <c r="BI357" s="22"/>
      <c r="BJ357" s="241"/>
      <c r="BK357" s="19"/>
      <c r="BL357" s="19"/>
      <c r="BM357" s="19"/>
      <c r="BN357" s="19"/>
      <c r="BO357" s="19"/>
      <c r="BP357" s="19"/>
      <c r="BQ357" s="19"/>
      <c r="BR357" s="19"/>
      <c r="BS357" s="19"/>
      <c r="BT357" s="19"/>
      <c r="BU357" s="19"/>
      <c r="BV357" s="19"/>
      <c r="BW357" s="19"/>
      <c r="BX357" s="19"/>
      <c r="BY357" s="19"/>
      <c r="BZ357" s="19"/>
      <c r="CA357" s="19"/>
      <c r="CB357" s="19"/>
      <c r="CC357" s="19"/>
      <c r="CD357" s="19"/>
      <c r="CE357" s="48"/>
      <c r="CF357" s="48"/>
      <c r="CG357" s="48"/>
      <c r="CH357" s="48"/>
      <c r="CI357" s="48"/>
      <c r="CJ357" s="48"/>
      <c r="CK357" s="48"/>
      <c r="CL357" s="48"/>
      <c r="CM357" s="48"/>
      <c r="CN357" s="48"/>
      <c r="CO357" s="48"/>
      <c r="CP357" s="48"/>
      <c r="CQ357" s="48"/>
      <c r="CR357" s="48"/>
      <c r="CS357" s="48"/>
      <c r="CT357" s="48"/>
      <c r="CU357" s="48"/>
      <c r="CV357" s="48"/>
      <c r="CW357" s="19"/>
      <c r="CX357" s="19"/>
      <c r="CY357" s="19"/>
      <c r="CZ357" s="19"/>
      <c r="DA357" s="21"/>
      <c r="DB357" s="21"/>
      <c r="DC357" s="79"/>
      <c r="DD357" s="79"/>
      <c r="DE357" s="79"/>
      <c r="DF357" s="79"/>
      <c r="DG357" s="79"/>
      <c r="DH357" s="51"/>
      <c r="DI357" s="39"/>
      <c r="DJ357" s="80"/>
      <c r="DK357" s="39"/>
      <c r="DL357" s="39"/>
      <c r="DM357" s="48"/>
      <c r="DN357" s="39"/>
      <c r="DO357" s="39"/>
      <c r="DP357" s="39"/>
      <c r="DQ357" s="39"/>
      <c r="DR357" s="39"/>
      <c r="DS357" s="166">
        <f t="shared" si="1380"/>
        <v>53.182600000000001</v>
      </c>
      <c r="DT357" s="166">
        <f t="shared" si="1380"/>
        <v>53.182600000000001</v>
      </c>
      <c r="DU357" s="19">
        <f t="shared" si="1353"/>
        <v>0</v>
      </c>
      <c r="DV357" s="40">
        <f t="shared" si="1377"/>
        <v>0</v>
      </c>
      <c r="DW357" s="40">
        <f t="shared" si="1363"/>
        <v>0</v>
      </c>
      <c r="DX357" s="46"/>
      <c r="DY357" s="21">
        <f t="shared" si="1327"/>
        <v>0</v>
      </c>
      <c r="DZ357" s="19">
        <f t="shared" si="1354"/>
        <v>1.7478146000000001</v>
      </c>
      <c r="EA357" s="19">
        <f t="shared" si="1355"/>
        <v>1.7478146000000001</v>
      </c>
      <c r="EB357" s="19"/>
      <c r="EC357" s="48">
        <f t="shared" si="1364"/>
        <v>0</v>
      </c>
      <c r="ED357" s="48">
        <f t="shared" si="1365"/>
        <v>0</v>
      </c>
      <c r="EE357" s="22">
        <v>45.07</v>
      </c>
      <c r="EF357" s="22">
        <v>47.77</v>
      </c>
      <c r="EG357" s="22">
        <f t="shared" si="1325"/>
        <v>105.99068116263591</v>
      </c>
      <c r="EH357" s="22"/>
      <c r="EI357" s="22"/>
      <c r="EJ357" s="22">
        <f t="shared" si="1326"/>
        <v>0</v>
      </c>
      <c r="EK357" s="241"/>
      <c r="EL357" s="19">
        <v>3.4740000000000002</v>
      </c>
      <c r="EM357" s="19"/>
      <c r="EN357" s="146">
        <f t="shared" si="1315"/>
        <v>0</v>
      </c>
      <c r="EO357" s="146">
        <f t="shared" si="1316"/>
        <v>0</v>
      </c>
      <c r="EP357" s="146"/>
      <c r="EQ357" s="21">
        <f t="shared" si="1356"/>
        <v>0</v>
      </c>
      <c r="ER357" s="21"/>
      <c r="ES357" s="21">
        <f t="shared" si="1366"/>
        <v>156.57318000000001</v>
      </c>
      <c r="ET357" s="21"/>
      <c r="EU357" s="19">
        <f t="shared" si="1319"/>
        <v>165.95298000000003</v>
      </c>
      <c r="EV357" s="21"/>
      <c r="EW357" s="39"/>
      <c r="EX357" s="39">
        <f t="shared" si="1357"/>
        <v>1747.8146000000002</v>
      </c>
      <c r="EY357" s="39">
        <f t="shared" si="1367"/>
        <v>1852.5206000000003</v>
      </c>
      <c r="EZ357" s="39"/>
      <c r="FA357" s="39"/>
      <c r="FB357" s="39"/>
      <c r="FC357" s="39"/>
      <c r="FD357" s="39"/>
      <c r="FE357" s="166"/>
      <c r="FF357" s="166"/>
      <c r="FG357" s="39"/>
      <c r="FH357" s="39"/>
      <c r="FI357" s="39"/>
      <c r="FJ357" s="19">
        <f t="shared" si="1320"/>
        <v>0</v>
      </c>
      <c r="FK357" s="19">
        <f t="shared" si="1321"/>
        <v>0</v>
      </c>
      <c r="FL357" s="19">
        <f t="shared" si="1322"/>
        <v>0</v>
      </c>
      <c r="FM357" s="19">
        <v>3.4740000000000002</v>
      </c>
      <c r="FN357" s="19"/>
      <c r="FO357" s="22">
        <v>53.42</v>
      </c>
      <c r="FP357" s="22">
        <v>54.45</v>
      </c>
      <c r="FQ357" s="22"/>
      <c r="FR357" s="22" t="s">
        <v>633</v>
      </c>
      <c r="FS357" s="22" t="s">
        <v>633</v>
      </c>
      <c r="FT357" s="22"/>
      <c r="FU357" s="241"/>
      <c r="FV357" s="19"/>
      <c r="FW357" s="19"/>
      <c r="FX357" s="19"/>
      <c r="FY357" s="19"/>
      <c r="FZ357" s="19"/>
      <c r="GA357" s="19"/>
      <c r="GB357" s="19"/>
      <c r="GC357" s="20"/>
      <c r="GD357" s="20"/>
      <c r="GE357" s="21"/>
      <c r="GF357" s="21"/>
      <c r="GG357" s="21"/>
      <c r="GH357" s="21"/>
      <c r="GI357" s="21"/>
      <c r="GJ357" s="21"/>
      <c r="GK357" s="21"/>
      <c r="GL357" s="21"/>
      <c r="GM357" s="19"/>
      <c r="GN357" s="19"/>
      <c r="GO357" s="22">
        <v>54.45</v>
      </c>
      <c r="GP357" s="22">
        <v>56.2</v>
      </c>
      <c r="GQ357" s="22"/>
      <c r="GR357" s="22" t="s">
        <v>633</v>
      </c>
      <c r="GS357" s="22" t="s">
        <v>633</v>
      </c>
      <c r="GT357" s="22"/>
      <c r="GU357" s="241"/>
      <c r="GV357" s="19"/>
      <c r="GW357" s="19"/>
      <c r="GX357" s="19"/>
      <c r="GY357" s="19"/>
      <c r="GZ357" s="23"/>
      <c r="HA357" s="22">
        <v>56.2</v>
      </c>
      <c r="HB357" s="22">
        <v>57.77</v>
      </c>
      <c r="HC357" s="22"/>
      <c r="HD357" s="22" t="s">
        <v>633</v>
      </c>
      <c r="HE357" s="22" t="s">
        <v>633</v>
      </c>
      <c r="HF357" s="22"/>
      <c r="HG357" s="241"/>
    </row>
    <row r="358" spans="2:215" ht="15.75">
      <c r="B358" s="10" t="s">
        <v>481</v>
      </c>
      <c r="C358" s="174" t="s">
        <v>264</v>
      </c>
      <c r="D358" s="73"/>
      <c r="E358" s="73"/>
      <c r="F358" s="73"/>
      <c r="G358" s="73"/>
      <c r="H358" s="73"/>
      <c r="I358" s="73"/>
      <c r="J358" s="73"/>
      <c r="K358" s="73"/>
      <c r="L358" s="73"/>
      <c r="M358" s="75">
        <f t="shared" ref="M358" si="1381">+N358+R358</f>
        <v>0</v>
      </c>
      <c r="N358" s="73">
        <f t="shared" ref="N358:N359" si="1382">+E358</f>
        <v>0</v>
      </c>
      <c r="O358" s="73"/>
      <c r="P358" s="73"/>
      <c r="Q358" s="73"/>
      <c r="R358" s="75">
        <f t="shared" ref="R358:R359" si="1383">+I358</f>
        <v>0</v>
      </c>
      <c r="S358" s="75"/>
      <c r="T358" s="75"/>
      <c r="U358" s="75"/>
      <c r="V358" s="52"/>
      <c r="W358" s="52"/>
      <c r="X358" s="52">
        <f t="shared" si="1330"/>
        <v>0</v>
      </c>
      <c r="Y358" s="52"/>
      <c r="Z358" s="22">
        <f t="shared" si="1331"/>
        <v>0</v>
      </c>
      <c r="AA358" s="52"/>
      <c r="AB358" s="22">
        <f t="shared" si="1332"/>
        <v>0</v>
      </c>
      <c r="AC358" s="22"/>
      <c r="AD358" s="22"/>
      <c r="AE358" s="22">
        <f t="shared" si="1378"/>
        <v>0</v>
      </c>
      <c r="AF358" s="22"/>
      <c r="AG358" s="22">
        <f t="shared" si="1361"/>
        <v>0</v>
      </c>
      <c r="AH358" s="52"/>
      <c r="AI358" s="52"/>
      <c r="AJ358" s="52">
        <f t="shared" si="1334"/>
        <v>0</v>
      </c>
      <c r="AK358" s="52"/>
      <c r="AL358" s="22">
        <f t="shared" si="1335"/>
        <v>0</v>
      </c>
      <c r="AM358" s="52"/>
      <c r="AN358" s="22">
        <f t="shared" si="1336"/>
        <v>0</v>
      </c>
      <c r="AO358" s="22">
        <f t="shared" si="1337"/>
        <v>0</v>
      </c>
      <c r="AP358" s="22">
        <f t="shared" si="1338"/>
        <v>0</v>
      </c>
      <c r="AQ358" s="22"/>
      <c r="AR358" s="22"/>
      <c r="AS358" s="22">
        <f t="shared" si="1379"/>
        <v>0</v>
      </c>
      <c r="AT358" s="22"/>
      <c r="AU358" s="22">
        <f t="shared" si="1324"/>
        <v>0</v>
      </c>
      <c r="AV358" s="77"/>
      <c r="AW358" s="77">
        <f>+CY358/$CY$348*100</f>
        <v>0</v>
      </c>
      <c r="AX358" s="190"/>
      <c r="AY358" s="22">
        <f t="shared" si="1340"/>
        <v>0</v>
      </c>
      <c r="AZ358" s="22"/>
      <c r="BA358" s="22"/>
      <c r="BB358" s="22"/>
      <c r="BC358" s="22"/>
      <c r="BD358" s="22"/>
      <c r="BE358" s="22">
        <f t="shared" si="1341"/>
        <v>0</v>
      </c>
      <c r="BF358" s="22"/>
      <c r="BG358" s="22"/>
      <c r="BH358" s="22">
        <f t="shared" si="1342"/>
        <v>0</v>
      </c>
      <c r="BI358" s="22"/>
      <c r="BJ358" s="40"/>
      <c r="BK358" s="19">
        <f t="shared" si="1268"/>
        <v>0</v>
      </c>
      <c r="BL358" s="19">
        <f t="shared" si="1343"/>
        <v>0</v>
      </c>
      <c r="BM358" s="19">
        <f t="shared" si="1344"/>
        <v>0</v>
      </c>
      <c r="BN358" s="19">
        <f t="shared" si="1345"/>
        <v>0</v>
      </c>
      <c r="BO358" s="19">
        <f t="shared" si="1269"/>
        <v>0</v>
      </c>
      <c r="BP358" s="19">
        <f t="shared" si="1346"/>
        <v>0</v>
      </c>
      <c r="BQ358" s="19">
        <f t="shared" si="1347"/>
        <v>0</v>
      </c>
      <c r="BR358" s="19">
        <f t="shared" si="1348"/>
        <v>0</v>
      </c>
      <c r="BS358" s="19">
        <f t="shared" si="1270"/>
        <v>0</v>
      </c>
      <c r="BT358" s="19">
        <f t="shared" si="1349"/>
        <v>0</v>
      </c>
      <c r="BU358" s="19">
        <f t="shared" si="1350"/>
        <v>0</v>
      </c>
      <c r="BV358" s="19">
        <f t="shared" si="1351"/>
        <v>0</v>
      </c>
      <c r="BW358" s="19">
        <f t="shared" ref="BW358:BW359" si="1384">+BX358+BY358+BZ358</f>
        <v>0</v>
      </c>
      <c r="BX358" s="19">
        <f t="shared" ref="BX358:BX359" si="1385">+((AQ358/1.18*N358/1000)+(AR358/1.18*N358/1000))/2</f>
        <v>0</v>
      </c>
      <c r="BY358" s="19">
        <f t="shared" ref="BY358:BY359" si="1386">+((AC358-ROUND(AQ358/1.18,2))*N358/1000+(AD358-ROUND(AR358/1.18,2))*N358/1000)/2</f>
        <v>0</v>
      </c>
      <c r="BZ358" s="19">
        <f t="shared" ref="BZ358:BZ359" si="1387">+((AC358*R358/1000)+(R358*AD358/1000))/2</f>
        <v>0</v>
      </c>
      <c r="CA358" s="19">
        <f t="shared" ref="CA358:CA359" si="1388">+CB358+CC358+CD358</f>
        <v>0</v>
      </c>
      <c r="CB358" s="19">
        <f t="shared" ref="CB358:CB359" si="1389">+AT358/1.18*N358/1000</f>
        <v>0</v>
      </c>
      <c r="CC358" s="19">
        <f t="shared" ref="CC358:CC359" si="1390">+(AF358-ROUND(AT358/1.18,2))*N358/1000</f>
        <v>0</v>
      </c>
      <c r="CD358" s="19">
        <f t="shared" ref="CD358:CD359" si="1391">+AF358*R358/1000</f>
        <v>0</v>
      </c>
      <c r="CE358" s="48">
        <f t="shared" si="1278"/>
        <v>0</v>
      </c>
      <c r="CF358" s="48">
        <f t="shared" si="1279"/>
        <v>0</v>
      </c>
      <c r="CG358" s="48">
        <f t="shared" si="1280"/>
        <v>0</v>
      </c>
      <c r="CH358" s="48">
        <f t="shared" si="1281"/>
        <v>0</v>
      </c>
      <c r="CI358" s="48">
        <f t="shared" si="1282"/>
        <v>0</v>
      </c>
      <c r="CJ358" s="48">
        <f t="shared" si="1283"/>
        <v>0</v>
      </c>
      <c r="CK358" s="48">
        <f t="shared" si="1284"/>
        <v>0</v>
      </c>
      <c r="CL358" s="48">
        <f t="shared" si="1285"/>
        <v>0</v>
      </c>
      <c r="CM358" s="48">
        <f t="shared" si="1286"/>
        <v>0</v>
      </c>
      <c r="CN358" s="48">
        <f t="shared" ref="CN358:CN364" si="1392">+IF((D358+D358+D358)=0,,(BK358+BO358+BS358)/(D358+D358+D358))*1000</f>
        <v>0</v>
      </c>
      <c r="CO358" s="48">
        <f t="shared" si="1287"/>
        <v>0</v>
      </c>
      <c r="CP358" s="48">
        <f t="shared" si="1288"/>
        <v>0</v>
      </c>
      <c r="CQ358" s="48">
        <f t="shared" si="1289"/>
        <v>0</v>
      </c>
      <c r="CR358" s="48">
        <f t="shared" si="1290"/>
        <v>0</v>
      </c>
      <c r="CS358" s="48">
        <f t="shared" si="1291"/>
        <v>0</v>
      </c>
      <c r="CT358" s="48">
        <f t="shared" si="1292"/>
        <v>0</v>
      </c>
      <c r="CU358" s="48">
        <f t="shared" ref="CU358:CU364" si="1393">+IF((M358+M358)=0,,(CA358+BW358)/(M358+M358))*1000</f>
        <v>0</v>
      </c>
      <c r="CV358" s="48">
        <f t="shared" si="1293"/>
        <v>0</v>
      </c>
      <c r="CW358" s="19">
        <f t="shared" ref="CW358:CW359" si="1394">+((AI358*F358)/1.18+(G358*AK358)/1.18+(H358*AM358)/1.18)/1000</f>
        <v>0</v>
      </c>
      <c r="CX358" s="19">
        <f t="shared" ref="CX358:CX359" si="1395">+((W358*F358)+(Y358*G358)+(AA358*H358))/1000</f>
        <v>0</v>
      </c>
      <c r="CY358" s="19">
        <f t="shared" ref="CY358:CY359" si="1396">+((AQ358*O358)/1.18+(Q358*AT358)/1.18+(AR358*P358)/1.18)/1000</f>
        <v>0</v>
      </c>
      <c r="CZ358" s="19">
        <f t="shared" ref="CZ358:CZ359" si="1397">+((AC358*O358)+(AF358*Q358)+(AD358*P358))/1000</f>
        <v>0</v>
      </c>
      <c r="DA358" s="21">
        <f t="shared" ref="DA358:DA375" si="1398">+IF(CX358=0,,CW358/CX358*100)</f>
        <v>0</v>
      </c>
      <c r="DB358" s="21">
        <f t="shared" ref="DB358:DB375" si="1399">+IF(CZ358=0,,CY358/CZ358*100)</f>
        <v>0</v>
      </c>
      <c r="DC358" s="79">
        <f t="shared" si="1298"/>
        <v>0</v>
      </c>
      <c r="DD358" s="79">
        <f t="shared" si="1298"/>
        <v>0</v>
      </c>
      <c r="DE358" s="79">
        <f t="shared" ref="DE358:DF364" si="1400">+(O358+S358)*AC358/1000</f>
        <v>0</v>
      </c>
      <c r="DF358" s="79">
        <f t="shared" si="1400"/>
        <v>0</v>
      </c>
      <c r="DG358" s="79">
        <f t="shared" ref="DG358:DG364" si="1401">+AF358*(Q358+U358)/1000</f>
        <v>0</v>
      </c>
      <c r="DH358" s="51">
        <f t="shared" ref="DH358:DH395" si="1402">+DE358+DF358+DG358</f>
        <v>0</v>
      </c>
      <c r="DI358" s="39"/>
      <c r="DJ358" s="80">
        <f t="shared" si="1300"/>
        <v>0</v>
      </c>
      <c r="DK358" s="39">
        <f t="shared" si="1301"/>
        <v>0</v>
      </c>
      <c r="DL358" s="39">
        <f t="shared" si="1302"/>
        <v>0</v>
      </c>
      <c r="DM358" s="48">
        <f>+AT358-'[2]тарифы (12-13) население 15%'!AP452</f>
        <v>0</v>
      </c>
      <c r="DN358" s="39"/>
      <c r="DO358" s="39"/>
      <c r="DP358" s="39"/>
      <c r="DQ358" s="39"/>
      <c r="DR358" s="39"/>
      <c r="DS358" s="39"/>
      <c r="DT358" s="39"/>
      <c r="DU358" s="19">
        <f t="shared" si="1353"/>
        <v>0</v>
      </c>
      <c r="DV358" s="40">
        <f t="shared" si="1377"/>
        <v>0</v>
      </c>
      <c r="DW358" s="40">
        <f t="shared" si="1363"/>
        <v>0</v>
      </c>
      <c r="DX358" s="46"/>
      <c r="DY358" s="21">
        <f t="shared" si="1327"/>
        <v>0</v>
      </c>
      <c r="DZ358" s="19">
        <f t="shared" si="1354"/>
        <v>0</v>
      </c>
      <c r="EA358" s="19">
        <f t="shared" si="1355"/>
        <v>0</v>
      </c>
      <c r="EB358" s="19"/>
      <c r="EC358" s="48">
        <f t="shared" si="1364"/>
        <v>0</v>
      </c>
      <c r="ED358" s="48">
        <f t="shared" si="1365"/>
        <v>0</v>
      </c>
      <c r="EE358" s="22"/>
      <c r="EF358" s="22"/>
      <c r="EG358" s="22">
        <f t="shared" si="1325"/>
        <v>0</v>
      </c>
      <c r="EH358" s="22"/>
      <c r="EI358" s="22"/>
      <c r="EJ358" s="22">
        <f t="shared" si="1326"/>
        <v>0</v>
      </c>
      <c r="EK358" s="40"/>
      <c r="EL358" s="19"/>
      <c r="EM358" s="19"/>
      <c r="EN358" s="146">
        <f t="shared" si="1315"/>
        <v>0</v>
      </c>
      <c r="EO358" s="146">
        <f t="shared" si="1316"/>
        <v>0</v>
      </c>
      <c r="EP358" s="146"/>
      <c r="EQ358" s="21">
        <f t="shared" si="1356"/>
        <v>0</v>
      </c>
      <c r="ER358" s="21"/>
      <c r="ES358" s="21">
        <f t="shared" si="1366"/>
        <v>0</v>
      </c>
      <c r="ET358" s="21"/>
      <c r="EU358" s="19">
        <f t="shared" si="1319"/>
        <v>0</v>
      </c>
      <c r="EV358" s="21"/>
      <c r="EW358" s="39"/>
      <c r="EX358" s="39">
        <f t="shared" si="1357"/>
        <v>0</v>
      </c>
      <c r="EY358" s="39">
        <f t="shared" si="1367"/>
        <v>0</v>
      </c>
      <c r="EZ358" s="39"/>
      <c r="FA358" s="39"/>
      <c r="FB358" s="39"/>
      <c r="FC358" s="39"/>
      <c r="FD358" s="39"/>
      <c r="FE358" s="166"/>
      <c r="FF358" s="166"/>
      <c r="FG358" s="39"/>
      <c r="FH358" s="39"/>
      <c r="FI358" s="39"/>
      <c r="FJ358" s="19">
        <f t="shared" si="1320"/>
        <v>0</v>
      </c>
      <c r="FK358" s="19">
        <f t="shared" si="1321"/>
        <v>0</v>
      </c>
      <c r="FL358" s="19">
        <f t="shared" si="1322"/>
        <v>0</v>
      </c>
      <c r="FM358" s="19"/>
      <c r="FN358" s="19"/>
      <c r="FO358" s="22"/>
      <c r="FP358" s="22"/>
      <c r="FQ358" s="22"/>
      <c r="FR358" s="22"/>
      <c r="FS358" s="22"/>
      <c r="FT358" s="22"/>
      <c r="FU358" s="40"/>
      <c r="FV358" s="19"/>
      <c r="FW358" s="19"/>
      <c r="FX358" s="19"/>
      <c r="FY358" s="19"/>
      <c r="FZ358" s="19"/>
      <c r="GA358" s="19"/>
      <c r="GB358" s="19"/>
      <c r="GC358" s="20"/>
      <c r="GD358" s="20"/>
      <c r="GE358" s="21"/>
      <c r="GF358" s="21"/>
      <c r="GG358" s="21"/>
      <c r="GH358" s="21"/>
      <c r="GI358" s="21"/>
      <c r="GJ358" s="21"/>
      <c r="GK358" s="21"/>
      <c r="GL358" s="21"/>
      <c r="GM358" s="19"/>
      <c r="GN358" s="19"/>
      <c r="GO358" s="22"/>
      <c r="GP358" s="22"/>
      <c r="GQ358" s="22"/>
      <c r="GR358" s="22"/>
      <c r="GS358" s="22"/>
      <c r="GT358" s="22"/>
      <c r="GU358" s="43"/>
      <c r="GV358" s="19"/>
      <c r="GW358" s="19"/>
      <c r="GX358" s="19"/>
      <c r="GY358" s="19"/>
      <c r="GZ358" s="23"/>
      <c r="HA358" s="22"/>
      <c r="HB358" s="22"/>
      <c r="HC358" s="22"/>
      <c r="HD358" s="22"/>
      <c r="HE358" s="22"/>
      <c r="HF358" s="22"/>
      <c r="HG358" s="233"/>
    </row>
    <row r="359" spans="2:215" ht="15.75">
      <c r="B359" s="10"/>
      <c r="C359" s="161" t="s">
        <v>204</v>
      </c>
      <c r="D359" s="73">
        <f>+'[2]2012(объемы годовые)'!I380</f>
        <v>13507</v>
      </c>
      <c r="E359" s="73">
        <f>+'[2]2012(объемы годовые)'!M380</f>
        <v>2413</v>
      </c>
      <c r="F359" s="74">
        <f>+E359*$F$3</f>
        <v>1333.4238</v>
      </c>
      <c r="G359" s="74">
        <f>+E359*$G$3</f>
        <v>359.7783</v>
      </c>
      <c r="H359" s="74">
        <f>+E359*$H$3</f>
        <v>719.79790000000003</v>
      </c>
      <c r="I359" s="73">
        <f>+'[2]2012(объемы годовые)'!Q380+'[2]2012(объемы годовые)'!U380+'[2]2012(объемы годовые)'!Y380</f>
        <v>11094</v>
      </c>
      <c r="J359" s="74">
        <f>+I359*$J$3</f>
        <v>6130.5443999999998</v>
      </c>
      <c r="K359" s="74">
        <f>+I359*$K$3</f>
        <v>1654.1154000000001</v>
      </c>
      <c r="L359" s="74">
        <f>+I359*$L$3</f>
        <v>3309.3402000000001</v>
      </c>
      <c r="M359" s="75">
        <f>+'[5]тарифы (НВВ) население на 12%'!$M$471</f>
        <v>13507</v>
      </c>
      <c r="N359" s="73">
        <f t="shared" si="1382"/>
        <v>2413</v>
      </c>
      <c r="O359" s="74">
        <v>1422.7048</v>
      </c>
      <c r="P359" s="74"/>
      <c r="Q359" s="74">
        <v>990.29520000000002</v>
      </c>
      <c r="R359" s="75">
        <f t="shared" si="1383"/>
        <v>11094</v>
      </c>
      <c r="S359" s="74">
        <v>6541.0223999999998</v>
      </c>
      <c r="T359" s="74"/>
      <c r="U359" s="74">
        <v>4552.9776000000002</v>
      </c>
      <c r="V359" s="141">
        <v>1191.45</v>
      </c>
      <c r="W359" s="52">
        <v>1191.45</v>
      </c>
      <c r="X359" s="52">
        <f t="shared" si="1330"/>
        <v>100</v>
      </c>
      <c r="Y359" s="141">
        <v>1261.75</v>
      </c>
      <c r="Z359" s="22">
        <f t="shared" si="1331"/>
        <v>105.90037349448151</v>
      </c>
      <c r="AA359" s="52">
        <v>1322.31</v>
      </c>
      <c r="AB359" s="22">
        <f t="shared" si="1332"/>
        <v>104.79968297998812</v>
      </c>
      <c r="AC359" s="52">
        <v>1322.31</v>
      </c>
      <c r="AD359" s="52">
        <v>1322.31</v>
      </c>
      <c r="AE359" s="22">
        <f t="shared" si="1378"/>
        <v>111.65006692832998</v>
      </c>
      <c r="AF359" s="22">
        <v>1476.36</v>
      </c>
      <c r="AG359" s="22">
        <f t="shared" si="1361"/>
        <v>111.65006692832998</v>
      </c>
      <c r="AH359" s="52">
        <v>1405.91</v>
      </c>
      <c r="AI359" s="52">
        <v>1405.91</v>
      </c>
      <c r="AJ359" s="52">
        <f t="shared" si="1334"/>
        <v>100</v>
      </c>
      <c r="AK359" s="22">
        <v>1488.87</v>
      </c>
      <c r="AL359" s="22">
        <f t="shared" si="1335"/>
        <v>105.9008044611675</v>
      </c>
      <c r="AM359" s="22">
        <v>1560.33</v>
      </c>
      <c r="AN359" s="22">
        <f t="shared" si="1336"/>
        <v>104.79961312942029</v>
      </c>
      <c r="AO359" s="22">
        <f t="shared" si="1337"/>
        <v>110.98325569683998</v>
      </c>
      <c r="AP359" s="22">
        <f t="shared" si="1338"/>
        <v>110.9836333762474</v>
      </c>
      <c r="AQ359" s="22">
        <v>1560.33</v>
      </c>
      <c r="AR359" s="22">
        <v>1560.33</v>
      </c>
      <c r="AS359" s="22">
        <f t="shared" si="1379"/>
        <v>111.64945876833747</v>
      </c>
      <c r="AT359" s="22">
        <v>1742.1</v>
      </c>
      <c r="AU359" s="22">
        <f t="shared" si="1324"/>
        <v>111.64945876833747</v>
      </c>
      <c r="AV359" s="77"/>
      <c r="AW359" s="77">
        <f>+CY359/$CY$348*100</f>
        <v>100</v>
      </c>
      <c r="AX359" s="78" t="s">
        <v>456</v>
      </c>
      <c r="AY359" s="22">
        <f t="shared" si="1340"/>
        <v>13.507000000000001</v>
      </c>
      <c r="AZ359" s="22">
        <f>+[8]БПр!$BX$1332/1000</f>
        <v>2.4130000000000003</v>
      </c>
      <c r="BA359" s="22">
        <f>+[8]БПр!$BW$1332/1000</f>
        <v>0.25800000000000001</v>
      </c>
      <c r="BB359" s="22">
        <f>+([8]БПр!$BY$1332+[8]БПр!$BO$1332)/1000</f>
        <v>10.836</v>
      </c>
      <c r="BC359" s="22">
        <v>1476.36</v>
      </c>
      <c r="BD359" s="22">
        <v>1538.36</v>
      </c>
      <c r="BE359" s="22">
        <f t="shared" si="1341"/>
        <v>104.19951773280229</v>
      </c>
      <c r="BF359" s="22">
        <v>1742.1</v>
      </c>
      <c r="BG359" s="22">
        <v>1815.26</v>
      </c>
      <c r="BH359" s="22">
        <f t="shared" si="1342"/>
        <v>104.19952930371392</v>
      </c>
      <c r="BI359" s="22">
        <f>+BD359-BG359/1.18</f>
        <v>4.0677966098883189E-3</v>
      </c>
      <c r="BJ359" s="40" t="s">
        <v>457</v>
      </c>
      <c r="BK359" s="19">
        <f t="shared" si="1268"/>
        <v>16092.913105084746</v>
      </c>
      <c r="BL359" s="19">
        <f t="shared" si="1343"/>
        <v>2874.9668050847458</v>
      </c>
      <c r="BM359" s="19">
        <f t="shared" si="1344"/>
        <v>0</v>
      </c>
      <c r="BN359" s="19">
        <f t="shared" si="1345"/>
        <v>13217.946300000001</v>
      </c>
      <c r="BO359" s="19">
        <f t="shared" si="1269"/>
        <v>17042.467474576271</v>
      </c>
      <c r="BP359" s="19">
        <f t="shared" si="1346"/>
        <v>3044.612974576271</v>
      </c>
      <c r="BQ359" s="19">
        <f t="shared" si="1347"/>
        <v>0</v>
      </c>
      <c r="BR359" s="19">
        <f t="shared" si="1348"/>
        <v>13997.854499999999</v>
      </c>
      <c r="BS359" s="19">
        <f t="shared" si="1270"/>
        <v>17860.449758644067</v>
      </c>
      <c r="BT359" s="19">
        <f t="shared" si="1349"/>
        <v>3190.7426186440675</v>
      </c>
      <c r="BU359" s="19">
        <f t="shared" si="1350"/>
        <v>0</v>
      </c>
      <c r="BV359" s="19">
        <f t="shared" si="1351"/>
        <v>14669.707139999999</v>
      </c>
      <c r="BW359" s="19">
        <f t="shared" si="1384"/>
        <v>17860.449758644067</v>
      </c>
      <c r="BX359" s="19">
        <f t="shared" si="1385"/>
        <v>3190.7426186440675</v>
      </c>
      <c r="BY359" s="19">
        <f t="shared" si="1386"/>
        <v>0</v>
      </c>
      <c r="BZ359" s="19">
        <f t="shared" si="1387"/>
        <v>14669.707139999999</v>
      </c>
      <c r="CA359" s="19">
        <f t="shared" si="1388"/>
        <v>19941.184704406776</v>
      </c>
      <c r="CB359" s="19">
        <f t="shared" si="1389"/>
        <v>3562.4468644067792</v>
      </c>
      <c r="CC359" s="19">
        <f t="shared" si="1390"/>
        <v>0</v>
      </c>
      <c r="CD359" s="19">
        <f t="shared" si="1391"/>
        <v>16378.737839999998</v>
      </c>
      <c r="CE359" s="48">
        <f t="shared" si="1278"/>
        <v>1191.45</v>
      </c>
      <c r="CF359" s="48">
        <f t="shared" si="1279"/>
        <v>1261.75</v>
      </c>
      <c r="CG359" s="48">
        <f t="shared" si="1280"/>
        <v>1322.31</v>
      </c>
      <c r="CH359" s="48">
        <f t="shared" si="1281"/>
        <v>1405.91</v>
      </c>
      <c r="CI359" s="48">
        <f t="shared" si="1282"/>
        <v>1488.8699999999997</v>
      </c>
      <c r="CJ359" s="48">
        <f t="shared" si="1283"/>
        <v>1560.33</v>
      </c>
      <c r="CK359" s="48">
        <f t="shared" si="1284"/>
        <v>1191.4498486032981</v>
      </c>
      <c r="CL359" s="48">
        <f t="shared" si="1285"/>
        <v>1261.75075698351</v>
      </c>
      <c r="CM359" s="48">
        <f t="shared" si="1286"/>
        <v>1322.3106358661485</v>
      </c>
      <c r="CN359" s="48">
        <f t="shared" si="1392"/>
        <v>1258.5037471509854</v>
      </c>
      <c r="CO359" s="48">
        <f t="shared" si="1287"/>
        <v>1322.31</v>
      </c>
      <c r="CP359" s="48">
        <f t="shared" si="1288"/>
        <v>1476.36</v>
      </c>
      <c r="CQ359" s="48">
        <f t="shared" si="1289"/>
        <v>1560.33</v>
      </c>
      <c r="CR359" s="48">
        <f t="shared" si="1290"/>
        <v>1742.0999999999997</v>
      </c>
      <c r="CS359" s="48">
        <f t="shared" si="1291"/>
        <v>1322.3106358661485</v>
      </c>
      <c r="CT359" s="48">
        <f t="shared" si="1292"/>
        <v>1476.35927329583</v>
      </c>
      <c r="CU359" s="48">
        <f t="shared" si="1393"/>
        <v>1399.334954580989</v>
      </c>
      <c r="CV359" s="48">
        <f t="shared" si="1293"/>
        <v>111.19036854270945</v>
      </c>
      <c r="CW359" s="19">
        <f t="shared" si="1394"/>
        <v>2994.4569741406785</v>
      </c>
      <c r="CX359" s="19">
        <f t="shared" si="1395"/>
        <v>2994.4540176840001</v>
      </c>
      <c r="CY359" s="19">
        <f t="shared" si="1396"/>
        <v>3343.290041105085</v>
      </c>
      <c r="CZ359" s="19">
        <f t="shared" si="1397"/>
        <v>3343.2890055600001</v>
      </c>
      <c r="DA359" s="21">
        <f t="shared" si="1398"/>
        <v>100.00009873107622</v>
      </c>
      <c r="DB359" s="21">
        <f t="shared" si="1399"/>
        <v>100.00003097384291</v>
      </c>
      <c r="DC359" s="79">
        <f t="shared" si="1298"/>
        <v>111.64929300961191</v>
      </c>
      <c r="DD359" s="79">
        <f t="shared" si="1298"/>
        <v>111.64936866006042</v>
      </c>
      <c r="DE359" s="79">
        <f t="shared" si="1400"/>
        <v>10530.516113831998</v>
      </c>
      <c r="DF359" s="79">
        <f t="shared" si="1400"/>
        <v>0</v>
      </c>
      <c r="DG359" s="79">
        <f t="shared" si="1401"/>
        <v>8183.8662310080008</v>
      </c>
      <c r="DH359" s="51">
        <f t="shared" si="1402"/>
        <v>18714.38234484</v>
      </c>
      <c r="DI359" s="39"/>
      <c r="DJ359" s="80">
        <f t="shared" si="1300"/>
        <v>8892.9449118899993</v>
      </c>
      <c r="DK359" s="39">
        <f t="shared" si="1301"/>
        <v>2541.0303759750004</v>
      </c>
      <c r="DL359" s="39">
        <f t="shared" si="1302"/>
        <v>5327.7696010109994</v>
      </c>
      <c r="DM359" s="48">
        <f>+AT359-'[2]тарифы (12-13) население 15%'!AP453</f>
        <v>0</v>
      </c>
      <c r="DN359" s="39"/>
      <c r="DO359" s="39"/>
      <c r="DP359" s="39"/>
      <c r="DQ359" s="39"/>
      <c r="DR359" s="39"/>
      <c r="DS359" s="39"/>
      <c r="DT359" s="39"/>
      <c r="DU359" s="19">
        <f t="shared" si="1353"/>
        <v>3562.4468644067802</v>
      </c>
      <c r="DV359" s="40">
        <f t="shared" si="1377"/>
        <v>3712.0528644067799</v>
      </c>
      <c r="DW359" s="40">
        <f t="shared" si="1363"/>
        <v>3712.06268</v>
      </c>
      <c r="DX359" s="21">
        <f>+'[1]тарифы (НВВ) население на 4,2%'!CN471</f>
        <v>100.00009873107622</v>
      </c>
      <c r="DY359" s="21">
        <f t="shared" si="1327"/>
        <v>99.999735575768341</v>
      </c>
      <c r="DZ359" s="19">
        <f t="shared" si="1354"/>
        <v>19.94119452</v>
      </c>
      <c r="EA359" s="19">
        <f t="shared" si="1355"/>
        <v>20.778628520000002</v>
      </c>
      <c r="EB359" s="19"/>
      <c r="EC359" s="48"/>
      <c r="ED359" s="48"/>
      <c r="EE359" s="22">
        <v>611.29</v>
      </c>
      <c r="EF359" s="22">
        <v>611.29</v>
      </c>
      <c r="EG359" s="22">
        <f t="shared" si="1325"/>
        <v>100</v>
      </c>
      <c r="EH359" s="22">
        <v>721.32</v>
      </c>
      <c r="EI359" s="22">
        <v>721.32</v>
      </c>
      <c r="EJ359" s="22">
        <f t="shared" si="1326"/>
        <v>100</v>
      </c>
      <c r="EK359" s="40" t="s">
        <v>482</v>
      </c>
      <c r="EL359" s="19">
        <v>13.507</v>
      </c>
      <c r="EM359" s="19">
        <v>2.41</v>
      </c>
      <c r="EN359" s="146">
        <f t="shared" si="1315"/>
        <v>1473.2044067796612</v>
      </c>
      <c r="EO359" s="146">
        <f t="shared" si="1316"/>
        <v>1473.2089000000001</v>
      </c>
      <c r="EP359" s="146"/>
      <c r="EQ359" s="21">
        <f t="shared" si="1356"/>
        <v>99.999695004534743</v>
      </c>
      <c r="ER359" s="21"/>
      <c r="ES359" s="21">
        <f t="shared" si="1366"/>
        <v>8256.6940299999987</v>
      </c>
      <c r="ET359" s="21"/>
      <c r="EU359" s="19">
        <f t="shared" si="1319"/>
        <v>8256.6940299999987</v>
      </c>
      <c r="EV359" s="21"/>
      <c r="EW359" s="39"/>
      <c r="EX359" s="39">
        <f t="shared" si="1357"/>
        <v>20778.628520000002</v>
      </c>
      <c r="EY359" s="39">
        <f t="shared" si="1367"/>
        <v>8256.6940300000006</v>
      </c>
      <c r="EZ359" s="39"/>
      <c r="FA359" s="39"/>
      <c r="FB359" s="39"/>
      <c r="FC359" s="39"/>
      <c r="FD359" s="39"/>
      <c r="FE359" s="166"/>
      <c r="FF359" s="166"/>
      <c r="FG359" s="39"/>
      <c r="FH359" s="39"/>
      <c r="FI359" s="39"/>
      <c r="FJ359" s="19"/>
      <c r="FK359" s="19"/>
      <c r="FL359" s="19">
        <f t="shared" si="1322"/>
        <v>0</v>
      </c>
      <c r="FM359" s="19">
        <v>10.465999999999999</v>
      </c>
      <c r="FN359" s="19">
        <v>2.69</v>
      </c>
      <c r="FO359" s="22">
        <v>2041.54</v>
      </c>
      <c r="FP359" s="22">
        <v>2093.2199999999998</v>
      </c>
      <c r="FQ359" s="22"/>
      <c r="FR359" s="22">
        <v>2449.85</v>
      </c>
      <c r="FS359" s="22">
        <v>2511.86</v>
      </c>
      <c r="FT359" s="22"/>
      <c r="FU359" s="40" t="s">
        <v>703</v>
      </c>
      <c r="FV359" s="19"/>
      <c r="FW359" s="19"/>
      <c r="FX359" s="19"/>
      <c r="FY359" s="19"/>
      <c r="FZ359" s="19"/>
      <c r="GA359" s="19"/>
      <c r="GB359" s="19"/>
      <c r="GC359" s="20"/>
      <c r="GD359" s="20"/>
      <c r="GE359" s="21"/>
      <c r="GF359" s="21"/>
      <c r="GG359" s="21"/>
      <c r="GH359" s="21"/>
      <c r="GI359" s="21"/>
      <c r="GJ359" s="21"/>
      <c r="GK359" s="21"/>
      <c r="GL359" s="21"/>
      <c r="GM359" s="19"/>
      <c r="GN359" s="19"/>
      <c r="GO359" s="22">
        <v>2093.2199999999998</v>
      </c>
      <c r="GP359" s="22">
        <v>2178.67</v>
      </c>
      <c r="GQ359" s="22"/>
      <c r="GR359" s="22">
        <v>2511.86</v>
      </c>
      <c r="GS359" s="22">
        <v>2614.4</v>
      </c>
      <c r="GT359" s="22"/>
      <c r="GU359" s="40" t="s">
        <v>703</v>
      </c>
      <c r="GV359" s="19"/>
      <c r="GW359" s="19"/>
      <c r="GX359" s="19"/>
      <c r="GY359" s="19"/>
      <c r="GZ359" s="23"/>
      <c r="HA359" s="22">
        <v>2168.4</v>
      </c>
      <c r="HB359" s="22">
        <v>2238.2600000000002</v>
      </c>
      <c r="HC359" s="22"/>
      <c r="HD359" s="22">
        <v>2602.08</v>
      </c>
      <c r="HE359" s="22">
        <v>2685.91</v>
      </c>
      <c r="HF359" s="22"/>
      <c r="HG359" s="236" t="s">
        <v>703</v>
      </c>
    </row>
    <row r="360" spans="2:215" ht="15.75">
      <c r="B360" s="10" t="s">
        <v>483</v>
      </c>
      <c r="C360" s="174" t="s">
        <v>484</v>
      </c>
      <c r="D360" s="73"/>
      <c r="E360" s="73"/>
      <c r="F360" s="73"/>
      <c r="G360" s="73"/>
      <c r="H360" s="73"/>
      <c r="I360" s="73"/>
      <c r="J360" s="73"/>
      <c r="K360" s="73"/>
      <c r="L360" s="73"/>
      <c r="M360" s="75"/>
      <c r="N360" s="73"/>
      <c r="O360" s="73"/>
      <c r="P360" s="73"/>
      <c r="Q360" s="73"/>
      <c r="R360" s="75"/>
      <c r="S360" s="74"/>
      <c r="T360" s="74"/>
      <c r="U360" s="74"/>
      <c r="V360" s="141"/>
      <c r="W360" s="52"/>
      <c r="X360" s="52"/>
      <c r="Y360" s="141"/>
      <c r="Z360" s="22"/>
      <c r="AA360" s="22"/>
      <c r="AB360" s="22"/>
      <c r="AC360" s="22"/>
      <c r="AD360" s="22"/>
      <c r="AE360" s="22"/>
      <c r="AF360" s="22"/>
      <c r="AG360" s="22"/>
      <c r="AH360" s="52"/>
      <c r="AI360" s="52"/>
      <c r="AJ360" s="52"/>
      <c r="AK360" s="22"/>
      <c r="AL360" s="22"/>
      <c r="AM360" s="22"/>
      <c r="AN360" s="22"/>
      <c r="AO360" s="22"/>
      <c r="AP360" s="22"/>
      <c r="AQ360" s="22"/>
      <c r="AR360" s="22"/>
      <c r="AS360" s="22"/>
      <c r="AT360" s="22"/>
      <c r="AU360" s="22"/>
      <c r="AV360" s="77"/>
      <c r="AW360" s="77"/>
      <c r="AX360" s="78"/>
      <c r="AY360" s="22"/>
      <c r="AZ360" s="22"/>
      <c r="BA360" s="22"/>
      <c r="BB360" s="22"/>
      <c r="BC360" s="22"/>
      <c r="BD360" s="22"/>
      <c r="BE360" s="22"/>
      <c r="BF360" s="22"/>
      <c r="BG360" s="22"/>
      <c r="BH360" s="22"/>
      <c r="BI360" s="22"/>
      <c r="BJ360" s="40"/>
      <c r="BK360" s="19"/>
      <c r="BL360" s="19"/>
      <c r="BM360" s="19"/>
      <c r="BN360" s="19"/>
      <c r="BO360" s="19"/>
      <c r="BP360" s="19"/>
      <c r="BQ360" s="19"/>
      <c r="BR360" s="19"/>
      <c r="BS360" s="19"/>
      <c r="BT360" s="19"/>
      <c r="BU360" s="19"/>
      <c r="BV360" s="19"/>
      <c r="BW360" s="19"/>
      <c r="BX360" s="19"/>
      <c r="BY360" s="19"/>
      <c r="BZ360" s="19"/>
      <c r="CA360" s="19"/>
      <c r="CB360" s="19"/>
      <c r="CC360" s="19"/>
      <c r="CD360" s="19"/>
      <c r="CE360" s="48"/>
      <c r="CF360" s="48"/>
      <c r="CG360" s="48"/>
      <c r="CH360" s="48"/>
      <c r="CI360" s="48"/>
      <c r="CJ360" s="48"/>
      <c r="CK360" s="48"/>
      <c r="CL360" s="48"/>
      <c r="CM360" s="48"/>
      <c r="CN360" s="48"/>
      <c r="CO360" s="48"/>
      <c r="CP360" s="48"/>
      <c r="CQ360" s="48"/>
      <c r="CR360" s="48"/>
      <c r="CS360" s="48"/>
      <c r="CT360" s="48"/>
      <c r="CU360" s="48"/>
      <c r="CV360" s="48"/>
      <c r="CW360" s="19"/>
      <c r="CX360" s="19"/>
      <c r="CY360" s="19"/>
      <c r="CZ360" s="19"/>
      <c r="DA360" s="21"/>
      <c r="DB360" s="21"/>
      <c r="DC360" s="79"/>
      <c r="DD360" s="79"/>
      <c r="DE360" s="79"/>
      <c r="DF360" s="79"/>
      <c r="DG360" s="79"/>
      <c r="DH360" s="51"/>
      <c r="DI360" s="39"/>
      <c r="DJ360" s="80"/>
      <c r="DK360" s="39"/>
      <c r="DL360" s="39"/>
      <c r="DM360" s="48"/>
      <c r="DN360" s="39"/>
      <c r="DO360" s="39"/>
      <c r="DP360" s="39"/>
      <c r="DQ360" s="39"/>
      <c r="DR360" s="39"/>
      <c r="DS360" s="39"/>
      <c r="DT360" s="39"/>
      <c r="DU360" s="19"/>
      <c r="DV360" s="40"/>
      <c r="DW360" s="40"/>
      <c r="DX360" s="46"/>
      <c r="DY360" s="21"/>
      <c r="DZ360" s="19"/>
      <c r="EA360" s="19"/>
      <c r="EB360" s="19"/>
      <c r="EC360" s="48"/>
      <c r="ED360" s="48"/>
      <c r="EE360" s="22"/>
      <c r="EF360" s="22"/>
      <c r="EG360" s="22"/>
      <c r="EH360" s="22"/>
      <c r="EI360" s="22"/>
      <c r="EJ360" s="22"/>
      <c r="EK360" s="40"/>
      <c r="EL360" s="19"/>
      <c r="EM360" s="19"/>
      <c r="EN360" s="146"/>
      <c r="EO360" s="146"/>
      <c r="EP360" s="146"/>
      <c r="EQ360" s="21"/>
      <c r="ER360" s="21"/>
      <c r="ES360" s="21"/>
      <c r="ET360" s="21"/>
      <c r="EU360" s="19"/>
      <c r="EV360" s="21"/>
      <c r="EW360" s="39"/>
      <c r="EX360" s="39"/>
      <c r="EY360" s="39"/>
      <c r="EZ360" s="39"/>
      <c r="FA360" s="39"/>
      <c r="FB360" s="39"/>
      <c r="FC360" s="39"/>
      <c r="FD360" s="39"/>
      <c r="FE360" s="39"/>
      <c r="FF360" s="39"/>
      <c r="FG360" s="39"/>
      <c r="FH360" s="39"/>
      <c r="FI360" s="39"/>
      <c r="FJ360" s="19"/>
      <c r="FK360" s="19"/>
      <c r="FL360" s="19"/>
      <c r="FM360" s="19"/>
      <c r="FN360" s="19"/>
      <c r="FO360" s="22"/>
      <c r="FP360" s="22"/>
      <c r="FQ360" s="22"/>
      <c r="FR360" s="22"/>
      <c r="FS360" s="22"/>
      <c r="FT360" s="22"/>
      <c r="FU360" s="40"/>
      <c r="FV360" s="19"/>
      <c r="FW360" s="19"/>
      <c r="FX360" s="19"/>
      <c r="FY360" s="19"/>
      <c r="FZ360" s="19"/>
      <c r="GA360" s="19"/>
      <c r="GB360" s="19"/>
      <c r="GC360" s="20"/>
      <c r="GD360" s="20"/>
      <c r="GE360" s="21"/>
      <c r="GF360" s="21"/>
      <c r="GG360" s="21"/>
      <c r="GH360" s="21"/>
      <c r="GI360" s="21"/>
      <c r="GJ360" s="21"/>
      <c r="GK360" s="21"/>
      <c r="GL360" s="21"/>
      <c r="GM360" s="19"/>
      <c r="GN360" s="19"/>
      <c r="GO360" s="22"/>
      <c r="GP360" s="22"/>
      <c r="GQ360" s="22"/>
      <c r="GR360" s="22"/>
      <c r="GS360" s="22"/>
      <c r="GT360" s="22"/>
      <c r="GU360" s="43"/>
      <c r="GV360" s="19"/>
      <c r="GW360" s="19"/>
      <c r="GX360" s="19"/>
      <c r="GY360" s="19"/>
      <c r="GZ360" s="23"/>
      <c r="HA360" s="22"/>
      <c r="HB360" s="22"/>
      <c r="HC360" s="22"/>
      <c r="HD360" s="22"/>
      <c r="HE360" s="22"/>
      <c r="HF360" s="22"/>
      <c r="HG360" s="233"/>
    </row>
    <row r="361" spans="2:215" ht="15.75">
      <c r="B361" s="10"/>
      <c r="C361" s="184" t="s">
        <v>131</v>
      </c>
      <c r="D361" s="73"/>
      <c r="E361" s="73"/>
      <c r="F361" s="73"/>
      <c r="G361" s="73"/>
      <c r="H361" s="73"/>
      <c r="I361" s="73"/>
      <c r="J361" s="73"/>
      <c r="K361" s="73"/>
      <c r="L361" s="73"/>
      <c r="M361" s="75"/>
      <c r="N361" s="73"/>
      <c r="O361" s="73"/>
      <c r="P361" s="73"/>
      <c r="Q361" s="73"/>
      <c r="R361" s="75"/>
      <c r="S361" s="74"/>
      <c r="T361" s="74"/>
      <c r="U361" s="74"/>
      <c r="V361" s="141"/>
      <c r="W361" s="52"/>
      <c r="X361" s="52"/>
      <c r="Y361" s="141"/>
      <c r="Z361" s="22"/>
      <c r="AA361" s="22"/>
      <c r="AB361" s="22"/>
      <c r="AC361" s="22"/>
      <c r="AD361" s="22"/>
      <c r="AE361" s="22"/>
      <c r="AF361" s="22"/>
      <c r="AG361" s="22"/>
      <c r="AH361" s="52"/>
      <c r="AI361" s="52"/>
      <c r="AJ361" s="52"/>
      <c r="AK361" s="22"/>
      <c r="AL361" s="22"/>
      <c r="AM361" s="22"/>
      <c r="AN361" s="22"/>
      <c r="AO361" s="22"/>
      <c r="AP361" s="22"/>
      <c r="AQ361" s="22"/>
      <c r="AR361" s="22"/>
      <c r="AS361" s="22"/>
      <c r="AT361" s="22"/>
      <c r="AU361" s="22"/>
      <c r="AV361" s="77"/>
      <c r="AW361" s="77"/>
      <c r="AX361" s="78"/>
      <c r="AY361" s="22"/>
      <c r="AZ361" s="22"/>
      <c r="BA361" s="22"/>
      <c r="BB361" s="22"/>
      <c r="BC361" s="22"/>
      <c r="BD361" s="22"/>
      <c r="BE361" s="22"/>
      <c r="BF361" s="22"/>
      <c r="BG361" s="22"/>
      <c r="BH361" s="22"/>
      <c r="BI361" s="22"/>
      <c r="BJ361" s="40"/>
      <c r="BK361" s="19"/>
      <c r="BL361" s="19"/>
      <c r="BM361" s="19"/>
      <c r="BN361" s="19"/>
      <c r="BO361" s="19"/>
      <c r="BP361" s="19"/>
      <c r="BQ361" s="19"/>
      <c r="BR361" s="19"/>
      <c r="BS361" s="19"/>
      <c r="BT361" s="19"/>
      <c r="BU361" s="19"/>
      <c r="BV361" s="19"/>
      <c r="BW361" s="19"/>
      <c r="BX361" s="19"/>
      <c r="BY361" s="19"/>
      <c r="BZ361" s="19"/>
      <c r="CA361" s="19"/>
      <c r="CB361" s="19"/>
      <c r="CC361" s="19"/>
      <c r="CD361" s="19"/>
      <c r="CE361" s="48"/>
      <c r="CF361" s="48"/>
      <c r="CG361" s="48"/>
      <c r="CH361" s="48"/>
      <c r="CI361" s="48"/>
      <c r="CJ361" s="48"/>
      <c r="CK361" s="48"/>
      <c r="CL361" s="48"/>
      <c r="CM361" s="48"/>
      <c r="CN361" s="48"/>
      <c r="CO361" s="48"/>
      <c r="CP361" s="48"/>
      <c r="CQ361" s="48"/>
      <c r="CR361" s="48"/>
      <c r="CS361" s="48"/>
      <c r="CT361" s="48"/>
      <c r="CU361" s="48"/>
      <c r="CV361" s="48"/>
      <c r="CW361" s="19"/>
      <c r="CX361" s="19"/>
      <c r="CY361" s="19"/>
      <c r="CZ361" s="19"/>
      <c r="DA361" s="21"/>
      <c r="DB361" s="21"/>
      <c r="DC361" s="79"/>
      <c r="DD361" s="79"/>
      <c r="DE361" s="79"/>
      <c r="DF361" s="79"/>
      <c r="DG361" s="79"/>
      <c r="DH361" s="51"/>
      <c r="DI361" s="39"/>
      <c r="DJ361" s="80"/>
      <c r="DK361" s="39"/>
      <c r="DL361" s="39"/>
      <c r="DM361" s="48"/>
      <c r="DN361" s="39"/>
      <c r="DO361" s="39"/>
      <c r="DP361" s="39"/>
      <c r="DQ361" s="39"/>
      <c r="DR361" s="39"/>
      <c r="DS361" s="39"/>
      <c r="DT361" s="39"/>
      <c r="DU361" s="19"/>
      <c r="DV361" s="40"/>
      <c r="DW361" s="40"/>
      <c r="DX361" s="46"/>
      <c r="DY361" s="21"/>
      <c r="DZ361" s="19"/>
      <c r="EA361" s="19"/>
      <c r="EB361" s="19"/>
      <c r="EC361" s="48"/>
      <c r="ED361" s="48"/>
      <c r="EE361" s="22"/>
      <c r="EF361" s="22">
        <v>55.57</v>
      </c>
      <c r="EG361" s="22"/>
      <c r="EH361" s="22"/>
      <c r="EI361" s="22">
        <v>65.569999999999993</v>
      </c>
      <c r="EJ361" s="22"/>
      <c r="EK361" s="40" t="s">
        <v>485</v>
      </c>
      <c r="EL361" s="19">
        <v>6.7439999999999998</v>
      </c>
      <c r="EM361" s="19">
        <v>3.5750000000000002</v>
      </c>
      <c r="EN361" s="146"/>
      <c r="EO361" s="146"/>
      <c r="EP361" s="146"/>
      <c r="EQ361" s="21"/>
      <c r="ER361" s="21"/>
      <c r="ES361" s="21"/>
      <c r="ET361" s="21"/>
      <c r="EU361" s="19"/>
      <c r="EV361" s="21"/>
      <c r="EW361" s="39"/>
      <c r="EX361" s="39"/>
      <c r="EY361" s="39"/>
      <c r="EZ361" s="39"/>
      <c r="FA361" s="39"/>
      <c r="FB361" s="39"/>
      <c r="FC361" s="39"/>
      <c r="FD361" s="39"/>
      <c r="FE361" s="39"/>
      <c r="FF361" s="39"/>
      <c r="FG361" s="39"/>
      <c r="FH361" s="39"/>
      <c r="FI361" s="39"/>
      <c r="FJ361" s="19"/>
      <c r="FK361" s="19"/>
      <c r="FL361" s="19"/>
      <c r="FM361" s="19">
        <v>6.7439999999999998</v>
      </c>
      <c r="FN361" s="19">
        <v>3.5750000000000002</v>
      </c>
      <c r="FO361" s="22">
        <v>64.13</v>
      </c>
      <c r="FP361" s="22">
        <v>65.400000000000006</v>
      </c>
      <c r="FQ361" s="22"/>
      <c r="FR361" s="22">
        <v>76.959999999999994</v>
      </c>
      <c r="FS361" s="22">
        <v>78.48</v>
      </c>
      <c r="FT361" s="22"/>
      <c r="FU361" s="40" t="s">
        <v>704</v>
      </c>
      <c r="FV361" s="19"/>
      <c r="FW361" s="19"/>
      <c r="FX361" s="19"/>
      <c r="FY361" s="19"/>
      <c r="FZ361" s="19"/>
      <c r="GA361" s="19"/>
      <c r="GB361" s="19"/>
      <c r="GC361" s="20"/>
      <c r="GD361" s="20"/>
      <c r="GE361" s="21"/>
      <c r="GF361" s="21"/>
      <c r="GG361" s="21"/>
      <c r="GH361" s="21"/>
      <c r="GI361" s="21"/>
      <c r="GJ361" s="21"/>
      <c r="GK361" s="21"/>
      <c r="GL361" s="21"/>
      <c r="GM361" s="19"/>
      <c r="GN361" s="19"/>
      <c r="GO361" s="22">
        <v>65.400000000000006</v>
      </c>
      <c r="GP361" s="22">
        <v>67.22</v>
      </c>
      <c r="GQ361" s="22"/>
      <c r="GR361" s="22">
        <v>78.48</v>
      </c>
      <c r="GS361" s="22">
        <v>80.66</v>
      </c>
      <c r="GT361" s="22"/>
      <c r="GU361" s="40" t="s">
        <v>704</v>
      </c>
      <c r="GV361" s="19"/>
      <c r="GW361" s="19"/>
      <c r="GX361" s="19"/>
      <c r="GY361" s="19"/>
      <c r="GZ361" s="23"/>
      <c r="HA361" s="22">
        <v>67.22</v>
      </c>
      <c r="HB361" s="22">
        <v>69.209999999999994</v>
      </c>
      <c r="HC361" s="22"/>
      <c r="HD361" s="22">
        <v>80.66</v>
      </c>
      <c r="HE361" s="22">
        <v>83.05</v>
      </c>
      <c r="HF361" s="22"/>
      <c r="HG361" s="236" t="s">
        <v>704</v>
      </c>
    </row>
    <row r="362" spans="2:215" ht="15.75">
      <c r="B362" s="15"/>
      <c r="C362" s="174" t="s">
        <v>643</v>
      </c>
      <c r="D362" s="73"/>
      <c r="E362" s="73"/>
      <c r="F362" s="73"/>
      <c r="G362" s="73"/>
      <c r="H362" s="73"/>
      <c r="I362" s="73"/>
      <c r="J362" s="73"/>
      <c r="K362" s="73"/>
      <c r="L362" s="73"/>
      <c r="M362" s="75"/>
      <c r="N362" s="73"/>
      <c r="O362" s="73"/>
      <c r="P362" s="73"/>
      <c r="Q362" s="73"/>
      <c r="R362" s="75"/>
      <c r="S362" s="74"/>
      <c r="T362" s="74"/>
      <c r="U362" s="74"/>
      <c r="V362" s="141"/>
      <c r="W362" s="52"/>
      <c r="X362" s="52"/>
      <c r="Y362" s="141"/>
      <c r="Z362" s="22"/>
      <c r="AA362" s="22"/>
      <c r="AB362" s="22"/>
      <c r="AC362" s="22"/>
      <c r="AD362" s="22"/>
      <c r="AE362" s="22"/>
      <c r="AF362" s="22"/>
      <c r="AG362" s="22"/>
      <c r="AH362" s="52"/>
      <c r="AI362" s="52"/>
      <c r="AJ362" s="52"/>
      <c r="AK362" s="22"/>
      <c r="AL362" s="22"/>
      <c r="AM362" s="22"/>
      <c r="AN362" s="22"/>
      <c r="AO362" s="22"/>
      <c r="AP362" s="22"/>
      <c r="AQ362" s="22"/>
      <c r="AR362" s="22"/>
      <c r="AS362" s="22"/>
      <c r="AT362" s="22"/>
      <c r="AU362" s="22"/>
      <c r="AV362" s="77"/>
      <c r="AW362" s="77"/>
      <c r="AX362" s="78"/>
      <c r="AY362" s="22"/>
      <c r="AZ362" s="22"/>
      <c r="BA362" s="22"/>
      <c r="BB362" s="22"/>
      <c r="BC362" s="22"/>
      <c r="BD362" s="22"/>
      <c r="BE362" s="22"/>
      <c r="BF362" s="22"/>
      <c r="BG362" s="22"/>
      <c r="BH362" s="22"/>
      <c r="BI362" s="22"/>
      <c r="BJ362" s="40"/>
      <c r="BK362" s="19"/>
      <c r="BL362" s="19"/>
      <c r="BM362" s="19"/>
      <c r="BN362" s="19"/>
      <c r="BO362" s="19"/>
      <c r="BP362" s="19"/>
      <c r="BQ362" s="19"/>
      <c r="BR362" s="19"/>
      <c r="BS362" s="19"/>
      <c r="BT362" s="19"/>
      <c r="BU362" s="19"/>
      <c r="BV362" s="19"/>
      <c r="BW362" s="19"/>
      <c r="BX362" s="19"/>
      <c r="BY362" s="19"/>
      <c r="BZ362" s="19"/>
      <c r="CA362" s="19"/>
      <c r="CB362" s="19"/>
      <c r="CC362" s="19"/>
      <c r="CD362" s="19"/>
      <c r="CE362" s="48"/>
      <c r="CF362" s="48"/>
      <c r="CG362" s="48"/>
      <c r="CH362" s="48"/>
      <c r="CI362" s="48"/>
      <c r="CJ362" s="48"/>
      <c r="CK362" s="48"/>
      <c r="CL362" s="48"/>
      <c r="CM362" s="48"/>
      <c r="CN362" s="48"/>
      <c r="CO362" s="48"/>
      <c r="CP362" s="48"/>
      <c r="CQ362" s="48"/>
      <c r="CR362" s="48"/>
      <c r="CS362" s="48"/>
      <c r="CT362" s="48"/>
      <c r="CU362" s="48"/>
      <c r="CV362" s="48"/>
      <c r="CW362" s="19"/>
      <c r="CX362" s="19"/>
      <c r="CY362" s="19"/>
      <c r="CZ362" s="19"/>
      <c r="DA362" s="21"/>
      <c r="DB362" s="21"/>
      <c r="DC362" s="79"/>
      <c r="DD362" s="79"/>
      <c r="DE362" s="79"/>
      <c r="DF362" s="79"/>
      <c r="DG362" s="79"/>
      <c r="DH362" s="51"/>
      <c r="DI362" s="39"/>
      <c r="DJ362" s="80"/>
      <c r="DK362" s="39"/>
      <c r="DL362" s="39"/>
      <c r="DM362" s="48"/>
      <c r="DN362" s="39"/>
      <c r="DO362" s="39"/>
      <c r="DP362" s="39"/>
      <c r="DQ362" s="39"/>
      <c r="DR362" s="39"/>
      <c r="DS362" s="39"/>
      <c r="DT362" s="39"/>
      <c r="DU362" s="19"/>
      <c r="DV362" s="40"/>
      <c r="DW362" s="40"/>
      <c r="DX362" s="46"/>
      <c r="DY362" s="21"/>
      <c r="DZ362" s="19"/>
      <c r="EA362" s="19"/>
      <c r="EB362" s="19"/>
      <c r="EC362" s="48"/>
      <c r="ED362" s="48"/>
      <c r="EE362" s="22"/>
      <c r="EF362" s="22"/>
      <c r="EG362" s="22"/>
      <c r="EH362" s="22"/>
      <c r="EI362" s="22"/>
      <c r="EJ362" s="22"/>
      <c r="EK362" s="40"/>
      <c r="EL362" s="19"/>
      <c r="EM362" s="19"/>
      <c r="EN362" s="146"/>
      <c r="EO362" s="146"/>
      <c r="EP362" s="146"/>
      <c r="EQ362" s="21"/>
      <c r="ER362" s="21"/>
      <c r="ES362" s="21"/>
      <c r="ET362" s="21"/>
      <c r="EU362" s="19"/>
      <c r="EV362" s="21"/>
      <c r="EW362" s="39"/>
      <c r="EX362" s="39"/>
      <c r="EY362" s="39"/>
      <c r="EZ362" s="39"/>
      <c r="FA362" s="39"/>
      <c r="FB362" s="39"/>
      <c r="FC362" s="39"/>
      <c r="FD362" s="39"/>
      <c r="FE362" s="39"/>
      <c r="FF362" s="39"/>
      <c r="FG362" s="39"/>
      <c r="FH362" s="39"/>
      <c r="FI362" s="39"/>
      <c r="FJ362" s="19"/>
      <c r="FK362" s="19"/>
      <c r="FL362" s="19"/>
      <c r="FM362" s="19"/>
      <c r="FN362" s="19"/>
      <c r="FO362" s="22"/>
      <c r="FP362" s="22"/>
      <c r="FQ362" s="22"/>
      <c r="FR362" s="22"/>
      <c r="FS362" s="22"/>
      <c r="FT362" s="22"/>
      <c r="FU362" s="40"/>
      <c r="FV362" s="19"/>
      <c r="FW362" s="19"/>
      <c r="FX362" s="19"/>
      <c r="FY362" s="19"/>
      <c r="FZ362" s="19"/>
      <c r="GA362" s="19"/>
      <c r="GB362" s="19"/>
      <c r="GC362" s="20"/>
      <c r="GD362" s="20"/>
      <c r="GE362" s="21"/>
      <c r="GF362" s="21"/>
      <c r="GG362" s="21"/>
      <c r="GH362" s="21"/>
      <c r="GI362" s="21"/>
      <c r="GJ362" s="21"/>
      <c r="GK362" s="21"/>
      <c r="GL362" s="21"/>
      <c r="GM362" s="19"/>
      <c r="GN362" s="19"/>
      <c r="GO362" s="22"/>
      <c r="GP362" s="22"/>
      <c r="GQ362" s="22"/>
      <c r="GR362" s="22"/>
      <c r="GS362" s="22"/>
      <c r="GT362" s="22"/>
      <c r="GU362" s="43"/>
      <c r="GV362" s="19"/>
      <c r="GW362" s="19"/>
      <c r="GX362" s="19"/>
      <c r="GY362" s="19"/>
      <c r="GZ362" s="23"/>
      <c r="HA362" s="22"/>
      <c r="HB362" s="22"/>
      <c r="HC362" s="22"/>
      <c r="HD362" s="22"/>
      <c r="HE362" s="22"/>
      <c r="HF362" s="22"/>
      <c r="HG362" s="233"/>
    </row>
    <row r="363" spans="2:215" ht="16.149999999999999" customHeight="1" thickBot="1">
      <c r="B363" s="15"/>
      <c r="C363" s="184" t="s">
        <v>635</v>
      </c>
      <c r="D363" s="173"/>
      <c r="E363" s="173"/>
      <c r="F363" s="74"/>
      <c r="G363" s="74"/>
      <c r="H363" s="74"/>
      <c r="I363" s="173"/>
      <c r="J363" s="173"/>
      <c r="K363" s="173"/>
      <c r="L363" s="173"/>
      <c r="M363" s="173"/>
      <c r="N363" s="173"/>
      <c r="O363" s="76"/>
      <c r="P363" s="76"/>
      <c r="Q363" s="76"/>
      <c r="R363" s="173"/>
      <c r="S363" s="173"/>
      <c r="T363" s="173"/>
      <c r="U363" s="173"/>
      <c r="V363" s="52"/>
      <c r="W363" s="52"/>
      <c r="X363" s="52"/>
      <c r="Y363" s="52"/>
      <c r="Z363" s="22"/>
      <c r="AA363" s="52"/>
      <c r="AB363" s="22"/>
      <c r="AC363" s="22"/>
      <c r="AD363" s="22"/>
      <c r="AE363" s="22"/>
      <c r="AF363" s="22"/>
      <c r="AG363" s="22"/>
      <c r="AH363" s="22"/>
      <c r="AI363" s="22"/>
      <c r="AJ363" s="52"/>
      <c r="AK363" s="22"/>
      <c r="AL363" s="22"/>
      <c r="AM363" s="22"/>
      <c r="AN363" s="22"/>
      <c r="AO363" s="22"/>
      <c r="AP363" s="22"/>
      <c r="AQ363" s="22"/>
      <c r="AR363" s="22"/>
      <c r="AS363" s="22"/>
      <c r="AT363" s="22"/>
      <c r="AU363" s="22"/>
      <c r="AV363" s="77"/>
      <c r="AW363" s="77"/>
      <c r="AX363" s="78"/>
      <c r="AY363" s="22"/>
      <c r="AZ363" s="22"/>
      <c r="BA363" s="22"/>
      <c r="BB363" s="22"/>
      <c r="BC363" s="22"/>
      <c r="BD363" s="22"/>
      <c r="BE363" s="22"/>
      <c r="BF363" s="22"/>
      <c r="BG363" s="22"/>
      <c r="BH363" s="22"/>
      <c r="BI363" s="22"/>
      <c r="BJ363" s="40"/>
      <c r="BK363" s="19"/>
      <c r="BL363" s="19"/>
      <c r="BM363" s="19"/>
      <c r="BN363" s="19"/>
      <c r="BO363" s="19"/>
      <c r="BP363" s="19"/>
      <c r="BQ363" s="19"/>
      <c r="BR363" s="19"/>
      <c r="BS363" s="19"/>
      <c r="BT363" s="19"/>
      <c r="BU363" s="19"/>
      <c r="BV363" s="19"/>
      <c r="BW363" s="19"/>
      <c r="BX363" s="19"/>
      <c r="BY363" s="19"/>
      <c r="BZ363" s="19"/>
      <c r="CA363" s="19"/>
      <c r="CB363" s="19"/>
      <c r="CC363" s="19"/>
      <c r="CD363" s="19"/>
      <c r="CE363" s="48"/>
      <c r="CF363" s="48"/>
      <c r="CG363" s="48"/>
      <c r="CH363" s="48"/>
      <c r="CI363" s="48"/>
      <c r="CJ363" s="48"/>
      <c r="CK363" s="48"/>
      <c r="CL363" s="48"/>
      <c r="CM363" s="48"/>
      <c r="CN363" s="48"/>
      <c r="CO363" s="48"/>
      <c r="CP363" s="48"/>
      <c r="CQ363" s="48"/>
      <c r="CR363" s="48"/>
      <c r="CS363" s="48"/>
      <c r="CT363" s="48"/>
      <c r="CU363" s="48"/>
      <c r="CV363" s="48"/>
      <c r="CW363" s="19"/>
      <c r="CX363" s="19"/>
      <c r="CY363" s="19"/>
      <c r="CZ363" s="19"/>
      <c r="DA363" s="21"/>
      <c r="DB363" s="21"/>
      <c r="DC363" s="79"/>
      <c r="DD363" s="79"/>
      <c r="DE363" s="79"/>
      <c r="DF363" s="79"/>
      <c r="DG363" s="79"/>
      <c r="DH363" s="51"/>
      <c r="DI363" s="39"/>
      <c r="DJ363" s="80"/>
      <c r="DK363" s="39"/>
      <c r="DL363" s="39"/>
      <c r="DM363" s="48"/>
      <c r="DN363" s="39"/>
      <c r="DO363" s="39"/>
      <c r="DP363" s="39"/>
      <c r="DQ363" s="39"/>
      <c r="DR363" s="39"/>
      <c r="DS363" s="39"/>
      <c r="DT363" s="39"/>
      <c r="DU363" s="19"/>
      <c r="DV363" s="40"/>
      <c r="DW363" s="40"/>
      <c r="DX363" s="21"/>
      <c r="DY363" s="21"/>
      <c r="DZ363" s="19"/>
      <c r="EA363" s="19"/>
      <c r="EB363" s="19"/>
      <c r="EC363" s="48"/>
      <c r="ED363" s="48"/>
      <c r="EE363" s="22"/>
      <c r="EF363" s="22"/>
      <c r="EG363" s="22"/>
      <c r="EH363" s="22"/>
      <c r="EI363" s="22"/>
      <c r="EJ363" s="22"/>
      <c r="EK363" s="83"/>
      <c r="EL363" s="19"/>
      <c r="EM363" s="19"/>
      <c r="EN363" s="40"/>
      <c r="EO363" s="40"/>
      <c r="EP363" s="40"/>
      <c r="EQ363" s="21"/>
      <c r="ER363" s="21"/>
      <c r="ES363" s="19"/>
      <c r="ET363" s="19"/>
      <c r="EU363" s="19"/>
      <c r="EV363" s="21"/>
      <c r="EW363" s="39"/>
      <c r="EX363" s="39"/>
      <c r="EY363" s="39"/>
      <c r="EZ363" s="39"/>
      <c r="FA363" s="39"/>
      <c r="FB363" s="39"/>
      <c r="FC363" s="39"/>
      <c r="FD363" s="39"/>
      <c r="FE363" s="39"/>
      <c r="FF363" s="39"/>
      <c r="FG363" s="39"/>
      <c r="FH363" s="39"/>
      <c r="FI363" s="39"/>
      <c r="FJ363" s="19"/>
      <c r="FK363" s="19"/>
      <c r="FL363" s="19"/>
      <c r="FM363" s="19"/>
      <c r="FN363" s="19"/>
      <c r="FO363" s="57">
        <v>326.68</v>
      </c>
      <c r="FP363" s="57">
        <v>365.9</v>
      </c>
      <c r="FQ363" s="57">
        <f t="shared" ref="FQ363" si="1403">+IF(FO363=0,,FP363/FO363*100)</f>
        <v>112.00563242316639</v>
      </c>
      <c r="FR363" s="57">
        <v>392.02</v>
      </c>
      <c r="FS363" s="57">
        <v>439.08</v>
      </c>
      <c r="FT363" s="57">
        <f t="shared" ref="FT363" si="1404">+IF(FR363=0,,FS363/FR363*100)</f>
        <v>112.00448956685885</v>
      </c>
      <c r="FU363" s="83" t="s">
        <v>625</v>
      </c>
      <c r="FV363" s="19"/>
      <c r="FW363" s="19"/>
      <c r="FX363" s="58"/>
      <c r="FY363" s="58"/>
      <c r="FZ363" s="58"/>
      <c r="GA363" s="19"/>
      <c r="GB363" s="19"/>
      <c r="GC363" s="20"/>
      <c r="GD363" s="20"/>
      <c r="GE363" s="19"/>
      <c r="GF363" s="19"/>
      <c r="GG363" s="19"/>
      <c r="GH363" s="19"/>
      <c r="GI363" s="19"/>
      <c r="GJ363" s="19"/>
      <c r="GK363" s="19"/>
      <c r="GL363" s="19"/>
      <c r="GM363" s="19"/>
      <c r="GN363" s="19"/>
      <c r="GO363" s="57">
        <v>365.9</v>
      </c>
      <c r="GP363" s="57">
        <v>622.91</v>
      </c>
      <c r="GQ363" s="57"/>
      <c r="GR363" s="57">
        <v>439.08</v>
      </c>
      <c r="GS363" s="57">
        <v>747.49</v>
      </c>
      <c r="GT363" s="57"/>
      <c r="GU363" s="83" t="s">
        <v>625</v>
      </c>
      <c r="GV363" s="19"/>
      <c r="GW363" s="19"/>
      <c r="GX363" s="19"/>
      <c r="GY363" s="19"/>
      <c r="GZ363" s="23"/>
      <c r="HA363" s="57">
        <v>622.91</v>
      </c>
      <c r="HB363" s="57">
        <v>460</v>
      </c>
      <c r="HC363" s="57"/>
      <c r="HD363" s="57">
        <v>747.49</v>
      </c>
      <c r="HE363" s="57">
        <v>552</v>
      </c>
      <c r="HF363" s="57"/>
      <c r="HG363" s="235" t="s">
        <v>625</v>
      </c>
    </row>
    <row r="364" spans="2:215" ht="16.5" thickBot="1">
      <c r="B364" s="7" t="s">
        <v>486</v>
      </c>
      <c r="C364" s="80" t="s">
        <v>487</v>
      </c>
      <c r="D364" s="80"/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0">
        <f t="shared" ref="X364:X375" si="1405">+IF(V364=0,,W364/V364*100)</f>
        <v>0</v>
      </c>
      <c r="Y364" s="80"/>
      <c r="Z364" s="80">
        <f t="shared" si="1331"/>
        <v>0</v>
      </c>
      <c r="AA364" s="80"/>
      <c r="AB364" s="80">
        <f t="shared" si="1332"/>
        <v>0</v>
      </c>
      <c r="AC364" s="80"/>
      <c r="AD364" s="80"/>
      <c r="AE364" s="80">
        <f t="shared" si="1378"/>
        <v>0</v>
      </c>
      <c r="AF364" s="80"/>
      <c r="AG364" s="80">
        <f>+IF(AC364=0,,AF364/AC364*100)</f>
        <v>0</v>
      </c>
      <c r="AH364" s="80"/>
      <c r="AI364" s="80"/>
      <c r="AJ364" s="80">
        <f t="shared" si="1334"/>
        <v>0</v>
      </c>
      <c r="AK364" s="80"/>
      <c r="AL364" s="80">
        <f t="shared" si="1335"/>
        <v>0</v>
      </c>
      <c r="AM364" s="80"/>
      <c r="AN364" s="80">
        <f t="shared" si="1336"/>
        <v>0</v>
      </c>
      <c r="AO364" s="80">
        <f t="shared" ref="AO364:AO375" si="1406">+IF(V364=0,,AA364/V364*100)</f>
        <v>0</v>
      </c>
      <c r="AP364" s="80">
        <f t="shared" si="1338"/>
        <v>0</v>
      </c>
      <c r="AQ364" s="80"/>
      <c r="AR364" s="80"/>
      <c r="AS364" s="80">
        <f t="shared" ref="AS364" si="1407">+IF(AQ364=0,,AT364/AQ364*100)</f>
        <v>0</v>
      </c>
      <c r="AT364" s="80"/>
      <c r="AU364" s="80">
        <f>+IF(AQ364=0,,AT364/AQ364*100)</f>
        <v>0</v>
      </c>
      <c r="AV364" s="77"/>
      <c r="AW364" s="77" t="e">
        <f>+CY364/$CY$364*100</f>
        <v>#DIV/0!</v>
      </c>
      <c r="AX364" s="78"/>
      <c r="AY364" s="80">
        <f t="shared" si="1340"/>
        <v>0</v>
      </c>
      <c r="AZ364" s="80"/>
      <c r="BA364" s="80"/>
      <c r="BB364" s="80"/>
      <c r="BC364" s="80"/>
      <c r="BD364" s="80"/>
      <c r="BE364" s="22">
        <f t="shared" si="1341"/>
        <v>0</v>
      </c>
      <c r="BF364" s="80"/>
      <c r="BG364" s="80"/>
      <c r="BH364" s="22">
        <f t="shared" si="1342"/>
        <v>0</v>
      </c>
      <c r="BI364" s="22"/>
      <c r="BJ364" s="40"/>
      <c r="BK364" s="80">
        <f t="shared" si="1268"/>
        <v>0</v>
      </c>
      <c r="BL364" s="80">
        <f t="shared" si="1343"/>
        <v>0</v>
      </c>
      <c r="BM364" s="80">
        <f t="shared" si="1344"/>
        <v>0</v>
      </c>
      <c r="BN364" s="80">
        <f t="shared" si="1345"/>
        <v>0</v>
      </c>
      <c r="BO364" s="80">
        <f t="shared" si="1269"/>
        <v>0</v>
      </c>
      <c r="BP364" s="80">
        <f t="shared" si="1346"/>
        <v>0</v>
      </c>
      <c r="BQ364" s="80">
        <f t="shared" si="1347"/>
        <v>0</v>
      </c>
      <c r="BR364" s="80">
        <f t="shared" si="1348"/>
        <v>0</v>
      </c>
      <c r="BS364" s="80">
        <f t="shared" si="1270"/>
        <v>0</v>
      </c>
      <c r="BT364" s="80">
        <f t="shared" si="1349"/>
        <v>0</v>
      </c>
      <c r="BU364" s="80">
        <f t="shared" si="1350"/>
        <v>0</v>
      </c>
      <c r="BV364" s="80">
        <f t="shared" si="1351"/>
        <v>0</v>
      </c>
      <c r="BW364" s="80"/>
      <c r="BX364" s="48">
        <f>+SUM(BX365:BX372)</f>
        <v>0</v>
      </c>
      <c r="BY364" s="48">
        <f>+SUM(BY365:BY372)</f>
        <v>0</v>
      </c>
      <c r="BZ364" s="80">
        <f>+AC364*R364/1000</f>
        <v>0</v>
      </c>
      <c r="CA364" s="80"/>
      <c r="CB364" s="48">
        <f>+SUM(CB365:CB372)</f>
        <v>0</v>
      </c>
      <c r="CC364" s="48">
        <f>+SUM(CC365:CC372)</f>
        <v>0</v>
      </c>
      <c r="CD364" s="80">
        <f t="shared" ref="CD364" si="1408">+AF364*R364/1000</f>
        <v>0</v>
      </c>
      <c r="CE364" s="80">
        <f t="shared" ref="CE364" si="1409">+IF(R364=0,,BN364/R364*1000)</f>
        <v>0</v>
      </c>
      <c r="CF364" s="80">
        <f t="shared" ref="CF364" si="1410">+IF(I364=0,,BR364/I364*1000)</f>
        <v>0</v>
      </c>
      <c r="CG364" s="80">
        <f t="shared" ref="CG364" si="1411">+IF(I364=0,,BV364/I364*1000)</f>
        <v>0</v>
      </c>
      <c r="CH364" s="80">
        <f t="shared" ref="CH364" si="1412">+IF(E364=0,,BL364/E364*1000*1.18)</f>
        <v>0</v>
      </c>
      <c r="CI364" s="80">
        <f t="shared" ref="CI364" si="1413">+IF(E364=0,,BP364/E364*1.18*1000)</f>
        <v>0</v>
      </c>
      <c r="CJ364" s="80">
        <f t="shared" ref="CJ364" si="1414">+IF(E364=0,,BT364/E364*1.18*1000)</f>
        <v>0</v>
      </c>
      <c r="CK364" s="80">
        <f t="shared" ref="CK364" si="1415">+IF(D364=0,,BK364/D364*1000)</f>
        <v>0</v>
      </c>
      <c r="CL364" s="80">
        <f t="shared" ref="CL364" si="1416">+IF(D364=0,,BO364/D364*1000)</f>
        <v>0</v>
      </c>
      <c r="CM364" s="80">
        <f t="shared" ref="CM364" si="1417">+IF(D364=0,,BS364/D364*1000)</f>
        <v>0</v>
      </c>
      <c r="CN364" s="80">
        <f t="shared" si="1392"/>
        <v>0</v>
      </c>
      <c r="CO364" s="80">
        <f t="shared" ref="CO364" si="1418">+IF(R364=0,,BZ364/R364*1000)</f>
        <v>0</v>
      </c>
      <c r="CP364" s="80">
        <f t="shared" ref="CP364" si="1419">+IF(R364=0,,CD364/R364*1000)</f>
        <v>0</v>
      </c>
      <c r="CQ364" s="80">
        <f t="shared" ref="CQ364" si="1420">+IF(N364=0,,BX364/N364*1.18*1000)</f>
        <v>0</v>
      </c>
      <c r="CR364" s="80">
        <f t="shared" ref="CR364" si="1421">+IF(N364=0,,CB364/N364*1.18*1000)</f>
        <v>0</v>
      </c>
      <c r="CS364" s="80">
        <f t="shared" ref="CS364" si="1422">+IF(M364=0,,BW364/M364*1000)</f>
        <v>0</v>
      </c>
      <c r="CT364" s="80">
        <f t="shared" ref="CT364:CT375" si="1423">+IF(M364=0,,CA364/M364*1000)</f>
        <v>0</v>
      </c>
      <c r="CU364" s="80">
        <f t="shared" si="1393"/>
        <v>0</v>
      </c>
      <c r="CV364" s="80">
        <f t="shared" ref="CV364:CV403" si="1424">+IF(CN364=0,,CU364/CN364*100)</f>
        <v>0</v>
      </c>
      <c r="CW364" s="48">
        <f>+SUM(CW365:CW372)</f>
        <v>0</v>
      </c>
      <c r="CX364" s="48">
        <f>+SUM(CX365:CX372)</f>
        <v>0</v>
      </c>
      <c r="CY364" s="48">
        <f>+SUM(CY365:CY372)</f>
        <v>0</v>
      </c>
      <c r="CZ364" s="48">
        <f>+SUM(CZ365:CZ372)</f>
        <v>0</v>
      </c>
      <c r="DA364" s="20">
        <f t="shared" si="1398"/>
        <v>0</v>
      </c>
      <c r="DB364" s="20">
        <f t="shared" si="1399"/>
        <v>0</v>
      </c>
      <c r="DC364" s="20">
        <f t="shared" ref="DC364:DD403" si="1425">+IF(CW364=0,,CY364/CW364*100)</f>
        <v>0</v>
      </c>
      <c r="DD364" s="20">
        <f t="shared" si="1425"/>
        <v>0</v>
      </c>
      <c r="DE364" s="79">
        <f t="shared" si="1400"/>
        <v>0</v>
      </c>
      <c r="DF364" s="79">
        <f t="shared" si="1400"/>
        <v>0</v>
      </c>
      <c r="DG364" s="79">
        <f t="shared" si="1401"/>
        <v>0</v>
      </c>
      <c r="DH364" s="51">
        <f t="shared" si="1402"/>
        <v>0</v>
      </c>
      <c r="DI364" s="39"/>
      <c r="DJ364" s="80">
        <f t="shared" ref="DJ364" si="1426">+(F364+J364)*W364/1000</f>
        <v>0</v>
      </c>
      <c r="DK364" s="39">
        <f t="shared" ref="DK364" si="1427">+Y364*(G364+K364)/1000</f>
        <v>0</v>
      </c>
      <c r="DL364" s="39">
        <f t="shared" ref="DL364" si="1428">+(H364+L364)*AA364/1000</f>
        <v>0</v>
      </c>
      <c r="DM364" s="48">
        <f>+AT364-'[2]тарифы (12-13) население 15%'!AP463</f>
        <v>0</v>
      </c>
      <c r="DN364" s="39"/>
      <c r="DO364" s="39"/>
      <c r="DP364" s="39"/>
      <c r="DQ364" s="39"/>
      <c r="DR364" s="39"/>
      <c r="DS364" s="39"/>
      <c r="DT364" s="39"/>
      <c r="DU364" s="19">
        <f t="shared" si="1353"/>
        <v>0</v>
      </c>
      <c r="DV364" s="42">
        <f>+SUM(DV365:DV372)</f>
        <v>27350.739239661019</v>
      </c>
      <c r="DW364" s="42">
        <f>+SUM(DW365:DW372)</f>
        <v>44618.034279200001</v>
      </c>
      <c r="DX364" s="42">
        <f>+'[1]тарифы (НВВ) население на 4,2%'!CO481</f>
        <v>69.794939701434828</v>
      </c>
      <c r="DY364" s="42">
        <f>+IF(DW364=0,,DV364/DW364*100)</f>
        <v>61.299740523108085</v>
      </c>
      <c r="DZ364" s="19">
        <f t="shared" si="1354"/>
        <v>0</v>
      </c>
      <c r="EA364" s="19">
        <f t="shared" si="1355"/>
        <v>0</v>
      </c>
      <c r="EB364" s="19"/>
      <c r="EC364" s="22">
        <f>+SUM(EC365:EC372)</f>
        <v>16904.690132610169</v>
      </c>
      <c r="ED364" s="42">
        <f>+SUM(ED365:ED372)</f>
        <v>16871.433075132205</v>
      </c>
      <c r="EE364" s="80"/>
      <c r="EF364" s="80"/>
      <c r="EG364" s="22">
        <f t="shared" si="1325"/>
        <v>0</v>
      </c>
      <c r="EH364" s="80"/>
      <c r="EI364" s="80"/>
      <c r="EJ364" s="22">
        <f t="shared" si="1326"/>
        <v>0</v>
      </c>
      <c r="EK364" s="40"/>
      <c r="EL364" s="40"/>
      <c r="EM364" s="40"/>
      <c r="EN364" s="146">
        <f>+SUM(EN365:EN372)</f>
        <v>30177.730218305085</v>
      </c>
      <c r="EO364" s="146">
        <f>+SUM(EO365:EO372)</f>
        <v>47683.421351199999</v>
      </c>
      <c r="EP364" s="146" t="e">
        <f>+$EN$442/$EN$445*EN364</f>
        <v>#REF!</v>
      </c>
      <c r="EQ364" s="42">
        <f t="shared" si="1356"/>
        <v>63.287678113612614</v>
      </c>
      <c r="ER364" s="42" t="e">
        <f>+IF((EN364+EP364)=0,,(EN364+EP364)/(EO364+EP364))*100</f>
        <v>#REF!</v>
      </c>
      <c r="ES364" s="42"/>
      <c r="ET364" s="42"/>
      <c r="EU364" s="19">
        <f t="shared" ref="EU364:EU400" si="1429">+EF364*EL364</f>
        <v>0</v>
      </c>
      <c r="EV364" s="42"/>
      <c r="EW364" s="39"/>
      <c r="EX364" s="39">
        <f t="shared" si="1357"/>
        <v>0</v>
      </c>
      <c r="EY364" s="39">
        <f t="shared" si="1367"/>
        <v>0</v>
      </c>
      <c r="EZ364" s="39"/>
      <c r="FA364" s="39"/>
      <c r="FB364" s="39"/>
      <c r="FC364" s="39"/>
      <c r="FD364" s="39"/>
      <c r="FE364" s="39"/>
      <c r="FF364" s="39"/>
      <c r="FG364" s="39"/>
      <c r="FH364" s="39"/>
      <c r="FI364" s="39"/>
      <c r="FJ364" s="41">
        <f>+SUM(FJ365:FJ372)</f>
        <v>16902.692220555931</v>
      </c>
      <c r="FK364" s="41">
        <f>+SUM(FK365:FK372)</f>
        <v>17505.691132894914</v>
      </c>
      <c r="FL364" s="41">
        <f t="shared" ref="FL364:FL399" si="1430">+FJ364+FK364</f>
        <v>34408.383353450845</v>
      </c>
      <c r="FM364" s="40"/>
      <c r="FN364" s="40"/>
      <c r="FO364" s="80">
        <f t="shared" ref="FO364:FO375" si="1431">+EF364</f>
        <v>0</v>
      </c>
      <c r="FP364" s="80"/>
      <c r="FQ364" s="22"/>
      <c r="FR364" s="80">
        <f t="shared" ref="FR364:FR375" si="1432">+EI364</f>
        <v>0</v>
      </c>
      <c r="FS364" s="80"/>
      <c r="FT364" s="22"/>
      <c r="FU364" s="40"/>
      <c r="FV364" s="41">
        <f t="shared" ref="FV364:GB364" si="1433">+SUM(FV365:FV372)</f>
        <v>0</v>
      </c>
      <c r="FW364" s="41">
        <f t="shared" si="1433"/>
        <v>0</v>
      </c>
      <c r="FX364" s="41">
        <f t="shared" si="1433"/>
        <v>0</v>
      </c>
      <c r="FY364" s="41">
        <f t="shared" si="1433"/>
        <v>0</v>
      </c>
      <c r="FZ364" s="41">
        <f t="shared" si="1433"/>
        <v>0</v>
      </c>
      <c r="GA364" s="41">
        <f t="shared" si="1433"/>
        <v>0</v>
      </c>
      <c r="GB364" s="41">
        <f t="shared" si="1433"/>
        <v>0</v>
      </c>
      <c r="GC364" s="20">
        <f t="shared" ref="GC364:GC375" si="1434">+IF(FZ364=0,,FY364/FZ364*100)</f>
        <v>0</v>
      </c>
      <c r="GD364" s="20">
        <f t="shared" si="1373"/>
        <v>0</v>
      </c>
      <c r="GE364" s="42"/>
      <c r="GF364" s="42"/>
      <c r="GG364" s="42"/>
      <c r="GH364" s="42"/>
      <c r="GI364" s="42"/>
      <c r="GJ364" s="42"/>
      <c r="GK364" s="42"/>
      <c r="GL364" s="42"/>
      <c r="GM364" s="40"/>
      <c r="GN364" s="40"/>
      <c r="GO364" s="80"/>
      <c r="GP364" s="80"/>
      <c r="GQ364" s="22"/>
      <c r="GR364" s="80"/>
      <c r="GS364" s="80"/>
      <c r="GT364" s="22"/>
      <c r="GU364" s="43"/>
      <c r="GV364" s="41"/>
      <c r="GW364" s="41"/>
      <c r="GX364" s="147">
        <f>+SUM(GX365:GX372)</f>
        <v>0</v>
      </c>
      <c r="GY364" s="147">
        <f>+SUM(GY365:GY372)</f>
        <v>0</v>
      </c>
      <c r="GZ364" s="44">
        <f t="shared" ref="GZ364" si="1435">+IF(GY364=0,,GX364/GY364*100)</f>
        <v>0</v>
      </c>
      <c r="HA364" s="80"/>
      <c r="HB364" s="80"/>
      <c r="HC364" s="22"/>
      <c r="HD364" s="80"/>
      <c r="HE364" s="80"/>
      <c r="HF364" s="22"/>
      <c r="HG364" s="233"/>
    </row>
    <row r="365" spans="2:215" ht="15.75">
      <c r="B365" s="10" t="s">
        <v>488</v>
      </c>
      <c r="C365" s="174" t="s">
        <v>152</v>
      </c>
      <c r="D365" s="73"/>
      <c r="E365" s="73"/>
      <c r="F365" s="74"/>
      <c r="G365" s="74"/>
      <c r="H365" s="74"/>
      <c r="I365" s="73"/>
      <c r="J365" s="74"/>
      <c r="K365" s="74"/>
      <c r="L365" s="74"/>
      <c r="M365" s="191"/>
      <c r="N365" s="191"/>
      <c r="O365" s="74"/>
      <c r="P365" s="74"/>
      <c r="Q365" s="74"/>
      <c r="R365" s="191"/>
      <c r="S365" s="74"/>
      <c r="T365" s="74"/>
      <c r="U365" s="74"/>
      <c r="V365" s="52"/>
      <c r="W365" s="52"/>
      <c r="X365" s="52"/>
      <c r="Y365" s="52"/>
      <c r="Z365" s="22"/>
      <c r="AA365" s="52"/>
      <c r="AB365" s="22"/>
      <c r="AC365" s="52"/>
      <c r="AD365" s="22"/>
      <c r="AE365" s="22"/>
      <c r="AF365" s="22"/>
      <c r="AG365" s="22">
        <f t="shared" si="1361"/>
        <v>0</v>
      </c>
      <c r="AH365" s="52"/>
      <c r="AI365" s="52"/>
      <c r="AJ365" s="52"/>
      <c r="AK365" s="52"/>
      <c r="AL365" s="22"/>
      <c r="AM365" s="52"/>
      <c r="AN365" s="22"/>
      <c r="AO365" s="22"/>
      <c r="AP365" s="22"/>
      <c r="AQ365" s="22"/>
      <c r="AR365" s="22"/>
      <c r="AS365" s="22"/>
      <c r="AT365" s="22"/>
      <c r="AU365" s="22">
        <f t="shared" si="1324"/>
        <v>0</v>
      </c>
      <c r="AV365" s="77"/>
      <c r="AW365" s="77"/>
      <c r="AX365" s="78"/>
      <c r="AY365" s="22">
        <f t="shared" si="1340"/>
        <v>0</v>
      </c>
      <c r="AZ365" s="22"/>
      <c r="BA365" s="22"/>
      <c r="BB365" s="22"/>
      <c r="BC365" s="22"/>
      <c r="BD365" s="22"/>
      <c r="BE365" s="22">
        <f t="shared" si="1341"/>
        <v>0</v>
      </c>
      <c r="BF365" s="22"/>
      <c r="BG365" s="22"/>
      <c r="BH365" s="22">
        <f t="shared" si="1342"/>
        <v>0</v>
      </c>
      <c r="BI365" s="22"/>
      <c r="BJ365" s="40"/>
      <c r="BK365" s="19"/>
      <c r="BL365" s="19"/>
      <c r="BM365" s="19"/>
      <c r="BN365" s="19"/>
      <c r="BO365" s="19"/>
      <c r="BP365" s="19"/>
      <c r="BQ365" s="19"/>
      <c r="BR365" s="19"/>
      <c r="BS365" s="19"/>
      <c r="BT365" s="19"/>
      <c r="BU365" s="19"/>
      <c r="BV365" s="19"/>
      <c r="BW365" s="19"/>
      <c r="BX365" s="19"/>
      <c r="BY365" s="19"/>
      <c r="BZ365" s="19"/>
      <c r="CA365" s="19"/>
      <c r="CB365" s="19"/>
      <c r="CC365" s="19"/>
      <c r="CD365" s="19"/>
      <c r="CE365" s="48"/>
      <c r="CF365" s="48"/>
      <c r="CG365" s="48"/>
      <c r="CH365" s="48"/>
      <c r="CI365" s="48"/>
      <c r="CJ365" s="48"/>
      <c r="CK365" s="48"/>
      <c r="CL365" s="48"/>
      <c r="CM365" s="48"/>
      <c r="CN365" s="48"/>
      <c r="CO365" s="48"/>
      <c r="CP365" s="48"/>
      <c r="CQ365" s="48"/>
      <c r="CR365" s="48"/>
      <c r="CS365" s="48"/>
      <c r="CT365" s="48"/>
      <c r="CU365" s="48"/>
      <c r="CV365" s="48"/>
      <c r="CW365" s="19"/>
      <c r="CX365" s="19"/>
      <c r="CY365" s="19"/>
      <c r="CZ365" s="19"/>
      <c r="DA365" s="21"/>
      <c r="DB365" s="21"/>
      <c r="DC365" s="79"/>
      <c r="DD365" s="79"/>
      <c r="DE365" s="79"/>
      <c r="DF365" s="79"/>
      <c r="DG365" s="79"/>
      <c r="DH365" s="51"/>
      <c r="DI365" s="39"/>
      <c r="DJ365" s="80"/>
      <c r="DK365" s="39"/>
      <c r="DL365" s="39"/>
      <c r="DM365" s="48"/>
      <c r="DN365" s="39"/>
      <c r="DO365" s="39"/>
      <c r="DP365" s="39"/>
      <c r="DQ365" s="39"/>
      <c r="DR365" s="39"/>
      <c r="DS365" s="39"/>
      <c r="DT365" s="39"/>
      <c r="DU365" s="19">
        <f t="shared" si="1353"/>
        <v>0</v>
      </c>
      <c r="DV365" s="40">
        <f t="shared" ref="DV365:DV366" si="1436">+(BG365*AZ365)/1.18</f>
        <v>0</v>
      </c>
      <c r="DW365" s="40">
        <f t="shared" si="1363"/>
        <v>0</v>
      </c>
      <c r="DX365" s="46"/>
      <c r="DY365" s="21">
        <f t="shared" si="1327"/>
        <v>0</v>
      </c>
      <c r="DZ365" s="19">
        <f t="shared" si="1354"/>
        <v>0</v>
      </c>
      <c r="EA365" s="19">
        <f t="shared" si="1355"/>
        <v>0</v>
      </c>
      <c r="EB365" s="19"/>
      <c r="EC365" s="48">
        <f t="shared" ref="EC365:EC368" si="1437">+(BC365-BF365/1.18)*AZ365/2</f>
        <v>0</v>
      </c>
      <c r="ED365" s="48">
        <f t="shared" ref="ED365:ED368" si="1438">+(BD365-BG365/1.18)*AZ365/2</f>
        <v>0</v>
      </c>
      <c r="EE365" s="22"/>
      <c r="EF365" s="22"/>
      <c r="EG365" s="22">
        <f t="shared" si="1325"/>
        <v>0</v>
      </c>
      <c r="EH365" s="22"/>
      <c r="EI365" s="22"/>
      <c r="EJ365" s="22">
        <f t="shared" si="1326"/>
        <v>0</v>
      </c>
      <c r="EK365" s="40"/>
      <c r="EL365" s="19"/>
      <c r="EM365" s="19"/>
      <c r="EN365" s="40">
        <f t="shared" ref="EN365:EN400" si="1439">+(EI365*EM365)/1.18</f>
        <v>0</v>
      </c>
      <c r="EO365" s="40">
        <f t="shared" ref="EO365:EO400" si="1440">+EF365*EM365</f>
        <v>0</v>
      </c>
      <c r="EP365" s="40"/>
      <c r="EQ365" s="21">
        <f t="shared" si="1356"/>
        <v>0</v>
      </c>
      <c r="ER365" s="21"/>
      <c r="ES365" s="21">
        <f t="shared" ref="ES365:ES403" si="1441">+EL365*EE365</f>
        <v>0</v>
      </c>
      <c r="ET365" s="21"/>
      <c r="EU365" s="19">
        <f t="shared" si="1429"/>
        <v>0</v>
      </c>
      <c r="EV365" s="21"/>
      <c r="EW365" s="39"/>
      <c r="EX365" s="39">
        <f t="shared" si="1357"/>
        <v>0</v>
      </c>
      <c r="EY365" s="39">
        <f t="shared" si="1367"/>
        <v>0</v>
      </c>
      <c r="EZ365" s="39"/>
      <c r="FA365" s="39"/>
      <c r="FB365" s="39"/>
      <c r="FC365" s="39"/>
      <c r="FD365" s="39"/>
      <c r="FE365" s="39"/>
      <c r="FF365" s="39"/>
      <c r="FG365" s="39"/>
      <c r="FH365" s="39"/>
      <c r="FI365" s="39"/>
      <c r="FJ365" s="19">
        <f t="shared" ref="FJ365:FJ398" si="1442">+(EE365-EH365/1.18)*EM365</f>
        <v>0</v>
      </c>
      <c r="FK365" s="19">
        <f t="shared" ref="FK365:FK398" si="1443">+(EF365-EI365/1.18)*EM365</f>
        <v>0</v>
      </c>
      <c r="FL365" s="19">
        <f t="shared" si="1430"/>
        <v>0</v>
      </c>
      <c r="FM365" s="19"/>
      <c r="FN365" s="19"/>
      <c r="FO365" s="22">
        <f t="shared" si="1431"/>
        <v>0</v>
      </c>
      <c r="FP365" s="22"/>
      <c r="FQ365" s="22">
        <f t="shared" ref="FQ365" si="1444">+IF(FO365=0,,FP365/FO365*100)</f>
        <v>0</v>
      </c>
      <c r="FR365" s="22">
        <f t="shared" si="1432"/>
        <v>0</v>
      </c>
      <c r="FS365" s="22"/>
      <c r="FT365" s="22">
        <f t="shared" ref="FT365" si="1445">+IF(FR365=0,,FS365/FR365*100)</f>
        <v>0</v>
      </c>
      <c r="FU365" s="40"/>
      <c r="FV365" s="19">
        <f>+(FO365-FR365/1.18)*FN365</f>
        <v>0</v>
      </c>
      <c r="FW365" s="19">
        <f t="shared" ref="FW365" si="1446">+(FP365-FS365/1.18)*FN365</f>
        <v>0</v>
      </c>
      <c r="FX365" s="19">
        <f t="shared" ref="FX365" si="1447">+(FW365/2)-FV365/2</f>
        <v>0</v>
      </c>
      <c r="FY365" s="19">
        <f t="shared" ref="FY365" si="1448">+(FR365*EM365)/1.18</f>
        <v>0</v>
      </c>
      <c r="FZ365" s="19">
        <f t="shared" ref="FZ365" si="1449">+FO365*EM365</f>
        <v>0</v>
      </c>
      <c r="GA365" s="19">
        <f t="shared" ref="GA365" si="1450">+(FS365*EM365)/1.18</f>
        <v>0</v>
      </c>
      <c r="GB365" s="19">
        <f t="shared" ref="GB365" si="1451">+FP365*EM365</f>
        <v>0</v>
      </c>
      <c r="GC365" s="20">
        <f t="shared" si="1434"/>
        <v>0</v>
      </c>
      <c r="GD365" s="20">
        <f t="shared" si="1373"/>
        <v>0</v>
      </c>
      <c r="GE365" s="21"/>
      <c r="GF365" s="21">
        <f t="shared" ref="GF365" si="1452">+FR365*FN365</f>
        <v>0</v>
      </c>
      <c r="GG365" s="21"/>
      <c r="GH365" s="21"/>
      <c r="GI365" s="21">
        <f t="shared" ref="GI365" si="1453">+FP365*FM365</f>
        <v>0</v>
      </c>
      <c r="GJ365" s="21">
        <f t="shared" ref="GJ365" si="1454">+FS365*FN365</f>
        <v>0</v>
      </c>
      <c r="GK365" s="21"/>
      <c r="GL365" s="21"/>
      <c r="GM365" s="19"/>
      <c r="GN365" s="19"/>
      <c r="GO365" s="22"/>
      <c r="GP365" s="22"/>
      <c r="GQ365" s="22">
        <f t="shared" ref="GQ365" si="1455">+IF(GO365=0,,GP365/GO365*100)</f>
        <v>0</v>
      </c>
      <c r="GR365" s="22"/>
      <c r="GS365" s="22"/>
      <c r="GT365" s="22">
        <f t="shared" ref="GT365" si="1456">+IF(GR365=0,,GS365/GR365*100)</f>
        <v>0</v>
      </c>
      <c r="GU365" s="43"/>
      <c r="GV365" s="19"/>
      <c r="GW365" s="19"/>
      <c r="GX365" s="19"/>
      <c r="GY365" s="19"/>
      <c r="GZ365" s="19"/>
      <c r="HA365" s="22"/>
      <c r="HB365" s="22"/>
      <c r="HC365" s="22">
        <f t="shared" ref="HC365" si="1457">+IF(HA365=0,,HB365/HA365*100)</f>
        <v>0</v>
      </c>
      <c r="HD365" s="22"/>
      <c r="HE365" s="22"/>
      <c r="HF365" s="22">
        <f t="shared" ref="HF365" si="1458">+IF(HD365=0,,HE365/HD365*100)</f>
        <v>0</v>
      </c>
      <c r="HG365" s="233"/>
    </row>
    <row r="366" spans="2:215" ht="15.75">
      <c r="B366" s="10"/>
      <c r="C366" s="161" t="s">
        <v>204</v>
      </c>
      <c r="D366" s="73"/>
      <c r="E366" s="73"/>
      <c r="F366" s="74"/>
      <c r="G366" s="74"/>
      <c r="H366" s="74"/>
      <c r="I366" s="73"/>
      <c r="J366" s="74"/>
      <c r="K366" s="74"/>
      <c r="L366" s="74"/>
      <c r="M366" s="191"/>
      <c r="N366" s="191"/>
      <c r="O366" s="74"/>
      <c r="P366" s="74"/>
      <c r="Q366" s="74"/>
      <c r="R366" s="191"/>
      <c r="S366" s="74"/>
      <c r="T366" s="74"/>
      <c r="U366" s="74"/>
      <c r="V366" s="52"/>
      <c r="W366" s="52"/>
      <c r="X366" s="52"/>
      <c r="Y366" s="52"/>
      <c r="Z366" s="22"/>
      <c r="AA366" s="52"/>
      <c r="AB366" s="22"/>
      <c r="AC366" s="52"/>
      <c r="AD366" s="52">
        <v>2523.4</v>
      </c>
      <c r="AE366" s="22">
        <f>+IF(AC366=0,,AF366/AC366*100)</f>
        <v>0</v>
      </c>
      <c r="AF366" s="22">
        <v>2523.4</v>
      </c>
      <c r="AG366" s="22">
        <f t="shared" si="1361"/>
        <v>100</v>
      </c>
      <c r="AH366" s="52"/>
      <c r="AI366" s="52"/>
      <c r="AJ366" s="52"/>
      <c r="AK366" s="52"/>
      <c r="AL366" s="22"/>
      <c r="AM366" s="52"/>
      <c r="AN366" s="22"/>
      <c r="AO366" s="22"/>
      <c r="AP366" s="22"/>
      <c r="AQ366" s="22"/>
      <c r="AR366" s="22">
        <v>1918.89</v>
      </c>
      <c r="AS366" s="22">
        <f>+IF(AQ366=0,,AT366/AQ366*100)</f>
        <v>0</v>
      </c>
      <c r="AT366" s="22">
        <v>2143.4</v>
      </c>
      <c r="AU366" s="22">
        <f t="shared" si="1324"/>
        <v>111.69999322525001</v>
      </c>
      <c r="AV366" s="77"/>
      <c r="AW366" s="77"/>
      <c r="AX366" s="78" t="s">
        <v>139</v>
      </c>
      <c r="AY366" s="22">
        <f t="shared" si="1340"/>
        <v>18.7987</v>
      </c>
      <c r="AZ366" s="22">
        <f>+[8]БПр!$BX$980/1000</f>
        <v>10.22734</v>
      </c>
      <c r="BA366" s="22">
        <f>+[8]БПр!$BW$980/1000</f>
        <v>6.6731100000000003</v>
      </c>
      <c r="BB366" s="22">
        <f>+([8]БПр!$BY$980+[8]БПр!$BP$980)/1000</f>
        <v>1.89825</v>
      </c>
      <c r="BC366" s="22">
        <v>2523.4</v>
      </c>
      <c r="BD366" s="22">
        <v>2629.38</v>
      </c>
      <c r="BE366" s="22">
        <f t="shared" si="1341"/>
        <v>104.19988903859871</v>
      </c>
      <c r="BF366" s="22">
        <v>2143.4</v>
      </c>
      <c r="BG366" s="22">
        <v>2233.42</v>
      </c>
      <c r="BH366" s="22">
        <f t="shared" si="1342"/>
        <v>104.19986936642718</v>
      </c>
      <c r="BI366" s="22">
        <f>+BD366-BG366/1.18</f>
        <v>736.65118644067798</v>
      </c>
      <c r="BJ366" s="40" t="s">
        <v>140</v>
      </c>
      <c r="BK366" s="19"/>
      <c r="BL366" s="19"/>
      <c r="BM366" s="19"/>
      <c r="BN366" s="19"/>
      <c r="BO366" s="19"/>
      <c r="BP366" s="19"/>
      <c r="BQ366" s="19"/>
      <c r="BR366" s="19"/>
      <c r="BS366" s="19"/>
      <c r="BT366" s="19"/>
      <c r="BU366" s="19"/>
      <c r="BV366" s="19"/>
      <c r="BW366" s="19"/>
      <c r="BX366" s="19"/>
      <c r="BY366" s="19"/>
      <c r="BZ366" s="19"/>
      <c r="CA366" s="19"/>
      <c r="CB366" s="19"/>
      <c r="CC366" s="19"/>
      <c r="CD366" s="19"/>
      <c r="CE366" s="48"/>
      <c r="CF366" s="48"/>
      <c r="CG366" s="48"/>
      <c r="CH366" s="48"/>
      <c r="CI366" s="48"/>
      <c r="CJ366" s="48"/>
      <c r="CK366" s="48"/>
      <c r="CL366" s="48"/>
      <c r="CM366" s="48"/>
      <c r="CN366" s="48"/>
      <c r="CO366" s="48"/>
      <c r="CP366" s="48"/>
      <c r="CQ366" s="48"/>
      <c r="CR366" s="48"/>
      <c r="CS366" s="48"/>
      <c r="CT366" s="48"/>
      <c r="CU366" s="48"/>
      <c r="CV366" s="48"/>
      <c r="CW366" s="19"/>
      <c r="CX366" s="19"/>
      <c r="CY366" s="19"/>
      <c r="CZ366" s="19"/>
      <c r="DA366" s="21"/>
      <c r="DB366" s="21"/>
      <c r="DC366" s="79"/>
      <c r="DD366" s="79"/>
      <c r="DE366" s="79"/>
      <c r="DF366" s="79"/>
      <c r="DG366" s="79"/>
      <c r="DH366" s="51"/>
      <c r="DI366" s="39"/>
      <c r="DJ366" s="80"/>
      <c r="DK366" s="39"/>
      <c r="DL366" s="39"/>
      <c r="DM366" s="48"/>
      <c r="DN366" s="39"/>
      <c r="DO366" s="39"/>
      <c r="DP366" s="39"/>
      <c r="DQ366" s="39"/>
      <c r="DR366" s="39"/>
      <c r="DS366" s="39"/>
      <c r="DT366" s="39"/>
      <c r="DU366" s="19">
        <f t="shared" si="1353"/>
        <v>18577.356403389833</v>
      </c>
      <c r="DV366" s="40">
        <f t="shared" si="1436"/>
        <v>19357.581104067798</v>
      </c>
      <c r="DW366" s="40">
        <f t="shared" si="1363"/>
        <v>26891.5632492</v>
      </c>
      <c r="DX366" s="21">
        <f>+('[1]тарифы (НВВ) население на 4,2%'!CL483+'[1]тарифы (НВВ) население на 4,2%'!CL484)/('[1]тарифы (НВВ) население на 4,2%'!CM484+'[1]тарифы (НВВ) население на 4,2%'!CM483)*100</f>
        <v>69.189764277807157</v>
      </c>
      <c r="DY366" s="21">
        <f t="shared" si="1327"/>
        <v>71.983844615815215</v>
      </c>
      <c r="DZ366" s="19">
        <f t="shared" si="1354"/>
        <v>47.436639580000005</v>
      </c>
      <c r="EA366" s="19">
        <f t="shared" si="1355"/>
        <v>49.428925806000002</v>
      </c>
      <c r="EB366" s="48">
        <v>1859.47</v>
      </c>
      <c r="EC366" s="48">
        <f>+(BC366-BF366/1.18)*AZ366</f>
        <v>7230.3133526101683</v>
      </c>
      <c r="ED366" s="48">
        <f>+(BD366-BG366/1.18)*AZ366</f>
        <v>7533.9821451322032</v>
      </c>
      <c r="EE366" s="22">
        <v>2629.38</v>
      </c>
      <c r="EF366" s="22">
        <v>2813.43</v>
      </c>
      <c r="EG366" s="22">
        <f t="shared" si="1325"/>
        <v>106.99974899025624</v>
      </c>
      <c r="EH366" s="22">
        <v>2233.42</v>
      </c>
      <c r="EI366" s="22">
        <v>2422.14</v>
      </c>
      <c r="EJ366" s="22">
        <f t="shared" si="1326"/>
        <v>108.44982135021625</v>
      </c>
      <c r="EK366" s="40" t="s">
        <v>141</v>
      </c>
      <c r="EL366" s="19">
        <v>18.535029999999999</v>
      </c>
      <c r="EM366" s="19">
        <v>10.26984</v>
      </c>
      <c r="EN366" s="40">
        <f>+(EI366*EM366)/1.18</f>
        <v>21080.500218305086</v>
      </c>
      <c r="EO366" s="40">
        <f t="shared" si="1440"/>
        <v>28893.475951199998</v>
      </c>
      <c r="EP366" s="40"/>
      <c r="EQ366" s="21">
        <f t="shared" si="1356"/>
        <v>72.95937759066878</v>
      </c>
      <c r="ER366" s="21"/>
      <c r="ES366" s="21">
        <f t="shared" si="1441"/>
        <v>48735.637181400001</v>
      </c>
      <c r="ET366" s="21"/>
      <c r="EU366" s="19">
        <f t="shared" si="1429"/>
        <v>52147.009452899991</v>
      </c>
      <c r="EV366" s="21"/>
      <c r="EW366" s="39"/>
      <c r="EX366" s="39">
        <f t="shared" si="1357"/>
        <v>49428.925805999999</v>
      </c>
      <c r="EY366" s="39">
        <f t="shared" si="1367"/>
        <v>52888.826540999995</v>
      </c>
      <c r="EZ366" s="39"/>
      <c r="FA366" s="39"/>
      <c r="FB366" s="39"/>
      <c r="FC366" s="39"/>
      <c r="FD366" s="39"/>
      <c r="FE366" s="39"/>
      <c r="FF366" s="39"/>
      <c r="FG366" s="39"/>
      <c r="FH366" s="39"/>
      <c r="FI366" s="39"/>
      <c r="FJ366" s="19">
        <f t="shared" si="1442"/>
        <v>7565.2898205559322</v>
      </c>
      <c r="FK366" s="19">
        <f t="shared" si="1443"/>
        <v>7812.9757328949163</v>
      </c>
      <c r="FL366" s="19">
        <f t="shared" si="1430"/>
        <v>15378.265553450849</v>
      </c>
      <c r="FM366" s="19">
        <v>17.914000000000001</v>
      </c>
      <c r="FN366" s="19">
        <v>9.6349999999999998</v>
      </c>
      <c r="FO366" s="22">
        <v>3013.12</v>
      </c>
      <c r="FP366" s="22">
        <v>3083.47</v>
      </c>
      <c r="FQ366" s="22"/>
      <c r="FR366" s="22">
        <v>2664.33</v>
      </c>
      <c r="FS366" s="22">
        <v>2797.55</v>
      </c>
      <c r="FT366" s="22"/>
      <c r="FU366" s="40" t="s">
        <v>624</v>
      </c>
      <c r="FV366" s="19"/>
      <c r="FW366" s="19"/>
      <c r="FX366" s="19"/>
      <c r="FY366" s="19"/>
      <c r="FZ366" s="19"/>
      <c r="GA366" s="19"/>
      <c r="GB366" s="19"/>
      <c r="GC366" s="20"/>
      <c r="GD366" s="20"/>
      <c r="GE366" s="21"/>
      <c r="GF366" s="21"/>
      <c r="GG366" s="21"/>
      <c r="GH366" s="21"/>
      <c r="GI366" s="21"/>
      <c r="GJ366" s="21"/>
      <c r="GK366" s="21"/>
      <c r="GL366" s="21"/>
      <c r="GM366" s="19"/>
      <c r="GN366" s="19"/>
      <c r="GO366" s="22">
        <v>3083.47</v>
      </c>
      <c r="GP366" s="22">
        <v>3217.34</v>
      </c>
      <c r="GQ366" s="22"/>
      <c r="GR366" s="22">
        <v>2797.55</v>
      </c>
      <c r="GS366" s="22">
        <v>2903.86</v>
      </c>
      <c r="GT366" s="22"/>
      <c r="GU366" s="43" t="s">
        <v>624</v>
      </c>
      <c r="GV366" s="19"/>
      <c r="GW366" s="19"/>
      <c r="GX366" s="19"/>
      <c r="GY366" s="19"/>
      <c r="GZ366" s="23"/>
      <c r="HA366" s="22">
        <v>3217.34</v>
      </c>
      <c r="HB366" s="22">
        <v>3305.42</v>
      </c>
      <c r="HC366" s="22"/>
      <c r="HD366" s="22">
        <v>2903.86</v>
      </c>
      <c r="HE366" s="22">
        <v>3020.01</v>
      </c>
      <c r="HF366" s="22"/>
      <c r="HG366" s="233" t="s">
        <v>624</v>
      </c>
    </row>
    <row r="367" spans="2:215" ht="15.75">
      <c r="B367" s="10"/>
      <c r="C367" s="161" t="s">
        <v>300</v>
      </c>
      <c r="D367" s="73"/>
      <c r="E367" s="73"/>
      <c r="F367" s="74"/>
      <c r="G367" s="74"/>
      <c r="H367" s="74"/>
      <c r="I367" s="73"/>
      <c r="J367" s="74"/>
      <c r="K367" s="74"/>
      <c r="L367" s="74"/>
      <c r="M367" s="191"/>
      <c r="N367" s="191"/>
      <c r="O367" s="74"/>
      <c r="P367" s="74"/>
      <c r="Q367" s="74"/>
      <c r="R367" s="191"/>
      <c r="S367" s="74"/>
      <c r="T367" s="74"/>
      <c r="U367" s="74"/>
      <c r="V367" s="52"/>
      <c r="W367" s="52"/>
      <c r="X367" s="52"/>
      <c r="Y367" s="52"/>
      <c r="Z367" s="22"/>
      <c r="AA367" s="52"/>
      <c r="AB367" s="22"/>
      <c r="AC367" s="52"/>
      <c r="AD367" s="52"/>
      <c r="AE367" s="22"/>
      <c r="AF367" s="22"/>
      <c r="AG367" s="22"/>
      <c r="AH367" s="52"/>
      <c r="AI367" s="52"/>
      <c r="AJ367" s="52"/>
      <c r="AK367" s="52"/>
      <c r="AL367" s="22"/>
      <c r="AM367" s="52"/>
      <c r="AN367" s="22"/>
      <c r="AO367" s="22"/>
      <c r="AP367" s="22"/>
      <c r="AQ367" s="22"/>
      <c r="AR367" s="22"/>
      <c r="AS367" s="22"/>
      <c r="AT367" s="22"/>
      <c r="AU367" s="22"/>
      <c r="AV367" s="77"/>
      <c r="AW367" s="77"/>
      <c r="AX367" s="78"/>
      <c r="AY367" s="22"/>
      <c r="AZ367" s="22"/>
      <c r="BA367" s="22"/>
      <c r="BB367" s="22"/>
      <c r="BC367" s="22"/>
      <c r="BD367" s="22"/>
      <c r="BE367" s="22"/>
      <c r="BF367" s="22"/>
      <c r="BG367" s="22"/>
      <c r="BH367" s="22"/>
      <c r="BI367" s="22"/>
      <c r="BJ367" s="40"/>
      <c r="BK367" s="19"/>
      <c r="BL367" s="19"/>
      <c r="BM367" s="19"/>
      <c r="BN367" s="19"/>
      <c r="BO367" s="19"/>
      <c r="BP367" s="19"/>
      <c r="BQ367" s="19"/>
      <c r="BR367" s="19"/>
      <c r="BS367" s="19"/>
      <c r="BT367" s="19"/>
      <c r="BU367" s="19"/>
      <c r="BV367" s="19"/>
      <c r="BW367" s="19"/>
      <c r="BX367" s="19"/>
      <c r="BY367" s="19"/>
      <c r="BZ367" s="19"/>
      <c r="CA367" s="19"/>
      <c r="CB367" s="19"/>
      <c r="CC367" s="19"/>
      <c r="CD367" s="19"/>
      <c r="CE367" s="48"/>
      <c r="CF367" s="48"/>
      <c r="CG367" s="48"/>
      <c r="CH367" s="48"/>
      <c r="CI367" s="48"/>
      <c r="CJ367" s="48"/>
      <c r="CK367" s="48"/>
      <c r="CL367" s="48"/>
      <c r="CM367" s="48"/>
      <c r="CN367" s="48"/>
      <c r="CO367" s="48"/>
      <c r="CP367" s="48"/>
      <c r="CQ367" s="48"/>
      <c r="CR367" s="48"/>
      <c r="CS367" s="48"/>
      <c r="CT367" s="48"/>
      <c r="CU367" s="48"/>
      <c r="CV367" s="48"/>
      <c r="CW367" s="19"/>
      <c r="CX367" s="19"/>
      <c r="CY367" s="19"/>
      <c r="CZ367" s="19"/>
      <c r="DA367" s="21"/>
      <c r="DB367" s="21"/>
      <c r="DC367" s="79"/>
      <c r="DD367" s="79"/>
      <c r="DE367" s="79"/>
      <c r="DF367" s="79"/>
      <c r="DG367" s="79"/>
      <c r="DH367" s="51"/>
      <c r="DI367" s="39"/>
      <c r="DJ367" s="80"/>
      <c r="DK367" s="39"/>
      <c r="DL367" s="39"/>
      <c r="DM367" s="48"/>
      <c r="DN367" s="39"/>
      <c r="DO367" s="39"/>
      <c r="DP367" s="39"/>
      <c r="DQ367" s="39"/>
      <c r="DR367" s="39"/>
      <c r="DS367" s="39"/>
      <c r="DT367" s="39"/>
      <c r="DU367" s="19"/>
      <c r="DV367" s="40"/>
      <c r="DW367" s="40"/>
      <c r="DX367" s="21"/>
      <c r="DY367" s="21"/>
      <c r="DZ367" s="19"/>
      <c r="EA367" s="19"/>
      <c r="EB367" s="48"/>
      <c r="EC367" s="48"/>
      <c r="ED367" s="48"/>
      <c r="EE367" s="22"/>
      <c r="EF367" s="22"/>
      <c r="EG367" s="22"/>
      <c r="EH367" s="22"/>
      <c r="EI367" s="22"/>
      <c r="EJ367" s="22"/>
      <c r="EK367" s="40"/>
      <c r="EL367" s="19"/>
      <c r="EM367" s="19"/>
      <c r="EN367" s="40"/>
      <c r="EO367" s="40"/>
      <c r="EP367" s="40"/>
      <c r="EQ367" s="21"/>
      <c r="ER367" s="21"/>
      <c r="ES367" s="21"/>
      <c r="ET367" s="21"/>
      <c r="EU367" s="19"/>
      <c r="EV367" s="21"/>
      <c r="EW367" s="39"/>
      <c r="EX367" s="39"/>
      <c r="EY367" s="39"/>
      <c r="EZ367" s="39"/>
      <c r="FA367" s="39"/>
      <c r="FB367" s="39"/>
      <c r="FC367" s="39"/>
      <c r="FD367" s="39"/>
      <c r="FE367" s="39"/>
      <c r="FF367" s="39"/>
      <c r="FG367" s="39"/>
      <c r="FH367" s="39"/>
      <c r="FI367" s="39"/>
      <c r="FJ367" s="19"/>
      <c r="FK367" s="19"/>
      <c r="FL367" s="19"/>
      <c r="FM367" s="19"/>
      <c r="FN367" s="19"/>
      <c r="FO367" s="22">
        <v>247.9</v>
      </c>
      <c r="FP367" s="22">
        <v>253.88</v>
      </c>
      <c r="FQ367" s="22"/>
      <c r="FR367" s="22" t="s">
        <v>633</v>
      </c>
      <c r="FS367" s="22" t="s">
        <v>633</v>
      </c>
      <c r="FT367" s="22"/>
      <c r="FU367" s="40" t="s">
        <v>631</v>
      </c>
      <c r="FV367" s="19"/>
      <c r="FW367" s="19"/>
      <c r="FX367" s="19"/>
      <c r="FY367" s="19"/>
      <c r="FZ367" s="19"/>
      <c r="GA367" s="19"/>
      <c r="GB367" s="19"/>
      <c r="GC367" s="20"/>
      <c r="GD367" s="20"/>
      <c r="GE367" s="21"/>
      <c r="GF367" s="21"/>
      <c r="GG367" s="21"/>
      <c r="GH367" s="21"/>
      <c r="GI367" s="21"/>
      <c r="GJ367" s="21"/>
      <c r="GK367" s="21"/>
      <c r="GL367" s="21"/>
      <c r="GM367" s="19"/>
      <c r="GN367" s="19"/>
      <c r="GO367" s="22">
        <v>253.88</v>
      </c>
      <c r="GP367" s="22">
        <v>263.52999999999997</v>
      </c>
      <c r="GQ367" s="22"/>
      <c r="GR367" s="22"/>
      <c r="GS367" s="22"/>
      <c r="GT367" s="22"/>
      <c r="GU367" s="40" t="s">
        <v>631</v>
      </c>
      <c r="GV367" s="19"/>
      <c r="GW367" s="19"/>
      <c r="GX367" s="19"/>
      <c r="GY367" s="19"/>
      <c r="GZ367" s="23"/>
      <c r="HA367" s="22">
        <v>263.52999999999997</v>
      </c>
      <c r="HB367" s="22">
        <v>274.07</v>
      </c>
      <c r="HC367" s="22"/>
      <c r="HD367" s="22"/>
      <c r="HE367" s="22"/>
      <c r="HF367" s="22"/>
      <c r="HG367" s="236" t="s">
        <v>631</v>
      </c>
    </row>
    <row r="368" spans="2:215" ht="15.75">
      <c r="B368" s="10" t="s">
        <v>489</v>
      </c>
      <c r="C368" s="174" t="s">
        <v>490</v>
      </c>
      <c r="D368" s="73"/>
      <c r="E368" s="73"/>
      <c r="F368" s="74"/>
      <c r="G368" s="74"/>
      <c r="H368" s="74"/>
      <c r="I368" s="73"/>
      <c r="J368" s="74"/>
      <c r="K368" s="74"/>
      <c r="L368" s="74"/>
      <c r="M368" s="191"/>
      <c r="N368" s="191"/>
      <c r="O368" s="74"/>
      <c r="P368" s="74"/>
      <c r="Q368" s="74"/>
      <c r="R368" s="191"/>
      <c r="S368" s="74"/>
      <c r="T368" s="74"/>
      <c r="U368" s="74"/>
      <c r="V368" s="52"/>
      <c r="W368" s="52"/>
      <c r="X368" s="52"/>
      <c r="Y368" s="52"/>
      <c r="Z368" s="22"/>
      <c r="AA368" s="52"/>
      <c r="AB368" s="22"/>
      <c r="AC368" s="52"/>
      <c r="AD368" s="22"/>
      <c r="AE368" s="22"/>
      <c r="AF368" s="22"/>
      <c r="AG368" s="22">
        <f t="shared" si="1361"/>
        <v>0</v>
      </c>
      <c r="AH368" s="52"/>
      <c r="AI368" s="52"/>
      <c r="AJ368" s="52"/>
      <c r="AK368" s="52"/>
      <c r="AL368" s="22"/>
      <c r="AM368" s="52"/>
      <c r="AN368" s="22"/>
      <c r="AO368" s="22"/>
      <c r="AP368" s="22"/>
      <c r="AQ368" s="22"/>
      <c r="AR368" s="22"/>
      <c r="AS368" s="22"/>
      <c r="AT368" s="22"/>
      <c r="AU368" s="22">
        <f t="shared" si="1324"/>
        <v>0</v>
      </c>
      <c r="AV368" s="77"/>
      <c r="AW368" s="77"/>
      <c r="AX368" s="78"/>
      <c r="AY368" s="22">
        <f t="shared" si="1340"/>
        <v>0</v>
      </c>
      <c r="AZ368" s="22"/>
      <c r="BA368" s="22"/>
      <c r="BB368" s="22"/>
      <c r="BC368" s="22"/>
      <c r="BD368" s="22"/>
      <c r="BE368" s="22">
        <f t="shared" si="1341"/>
        <v>0</v>
      </c>
      <c r="BF368" s="22"/>
      <c r="BG368" s="22"/>
      <c r="BH368" s="22">
        <f t="shared" si="1342"/>
        <v>0</v>
      </c>
      <c r="BI368" s="22"/>
      <c r="BJ368" s="40"/>
      <c r="BK368" s="19"/>
      <c r="BL368" s="19"/>
      <c r="BM368" s="19"/>
      <c r="BN368" s="19"/>
      <c r="BO368" s="19"/>
      <c r="BP368" s="19"/>
      <c r="BQ368" s="19"/>
      <c r="BR368" s="19"/>
      <c r="BS368" s="19"/>
      <c r="BT368" s="19"/>
      <c r="BU368" s="19"/>
      <c r="BV368" s="19"/>
      <c r="BW368" s="19"/>
      <c r="BX368" s="19"/>
      <c r="BY368" s="19"/>
      <c r="BZ368" s="19"/>
      <c r="CA368" s="19"/>
      <c r="CB368" s="19"/>
      <c r="CC368" s="19"/>
      <c r="CD368" s="19"/>
      <c r="CE368" s="48"/>
      <c r="CF368" s="48"/>
      <c r="CG368" s="48"/>
      <c r="CH368" s="48"/>
      <c r="CI368" s="48"/>
      <c r="CJ368" s="48"/>
      <c r="CK368" s="48"/>
      <c r="CL368" s="48"/>
      <c r="CM368" s="48"/>
      <c r="CN368" s="48"/>
      <c r="CO368" s="48"/>
      <c r="CP368" s="48"/>
      <c r="CQ368" s="48"/>
      <c r="CR368" s="48"/>
      <c r="CS368" s="48"/>
      <c r="CT368" s="48"/>
      <c r="CU368" s="48"/>
      <c r="CV368" s="48"/>
      <c r="CW368" s="19"/>
      <c r="CX368" s="19"/>
      <c r="CY368" s="19"/>
      <c r="CZ368" s="19"/>
      <c r="DA368" s="21"/>
      <c r="DB368" s="21"/>
      <c r="DC368" s="79"/>
      <c r="DD368" s="79"/>
      <c r="DE368" s="79"/>
      <c r="DF368" s="79"/>
      <c r="DG368" s="79"/>
      <c r="DH368" s="51"/>
      <c r="DI368" s="39"/>
      <c r="DJ368" s="80"/>
      <c r="DK368" s="39"/>
      <c r="DL368" s="39"/>
      <c r="DM368" s="48"/>
      <c r="DN368" s="39"/>
      <c r="DO368" s="39"/>
      <c r="DP368" s="39"/>
      <c r="DQ368" s="39"/>
      <c r="DR368" s="39"/>
      <c r="DS368" s="39"/>
      <c r="DT368" s="39"/>
      <c r="DU368" s="19">
        <f t="shared" si="1353"/>
        <v>0</v>
      </c>
      <c r="DV368" s="40">
        <f>+(BG368*AZ368)/1.18</f>
        <v>0</v>
      </c>
      <c r="DW368" s="40">
        <f t="shared" si="1363"/>
        <v>0</v>
      </c>
      <c r="DX368" s="46"/>
      <c r="DY368" s="21">
        <f t="shared" si="1327"/>
        <v>0</v>
      </c>
      <c r="DZ368" s="19">
        <f t="shared" si="1354"/>
        <v>0</v>
      </c>
      <c r="EA368" s="19">
        <f t="shared" si="1355"/>
        <v>0</v>
      </c>
      <c r="EB368" s="19"/>
      <c r="EC368" s="48">
        <f t="shared" si="1437"/>
        <v>0</v>
      </c>
      <c r="ED368" s="48">
        <f t="shared" si="1438"/>
        <v>0</v>
      </c>
      <c r="EE368" s="22"/>
      <c r="EF368" s="22"/>
      <c r="EG368" s="22">
        <f t="shared" si="1325"/>
        <v>0</v>
      </c>
      <c r="EH368" s="22"/>
      <c r="EI368" s="22"/>
      <c r="EJ368" s="22">
        <f t="shared" si="1326"/>
        <v>0</v>
      </c>
      <c r="EK368" s="40"/>
      <c r="EL368" s="19"/>
      <c r="EM368" s="19"/>
      <c r="EN368" s="40">
        <f t="shared" si="1439"/>
        <v>0</v>
      </c>
      <c r="EO368" s="40">
        <f t="shared" si="1440"/>
        <v>0</v>
      </c>
      <c r="EP368" s="40"/>
      <c r="EQ368" s="21">
        <f t="shared" si="1356"/>
        <v>0</v>
      </c>
      <c r="ER368" s="21"/>
      <c r="ES368" s="21">
        <f t="shared" si="1441"/>
        <v>0</v>
      </c>
      <c r="ET368" s="21"/>
      <c r="EU368" s="19">
        <f t="shared" si="1429"/>
        <v>0</v>
      </c>
      <c r="EV368" s="21"/>
      <c r="EW368" s="39"/>
      <c r="EX368" s="39">
        <f t="shared" si="1357"/>
        <v>0</v>
      </c>
      <c r="EY368" s="39">
        <f t="shared" si="1367"/>
        <v>0</v>
      </c>
      <c r="EZ368" s="39"/>
      <c r="FA368" s="39"/>
      <c r="FB368" s="39"/>
      <c r="FC368" s="39"/>
      <c r="FD368" s="39"/>
      <c r="FE368" s="39"/>
      <c r="FF368" s="39"/>
      <c r="FG368" s="39"/>
      <c r="FH368" s="39"/>
      <c r="FI368" s="39"/>
      <c r="FJ368" s="19">
        <f t="shared" si="1442"/>
        <v>0</v>
      </c>
      <c r="FK368" s="19">
        <f t="shared" si="1443"/>
        <v>0</v>
      </c>
      <c r="FL368" s="19">
        <f t="shared" si="1430"/>
        <v>0</v>
      </c>
      <c r="FM368" s="19"/>
      <c r="FN368" s="19"/>
      <c r="FO368" s="22"/>
      <c r="FP368" s="22"/>
      <c r="FQ368" s="22"/>
      <c r="FR368" s="22"/>
      <c r="FS368" s="22"/>
      <c r="FT368" s="22"/>
      <c r="FU368" s="40"/>
      <c r="FV368" s="19"/>
      <c r="FW368" s="19"/>
      <c r="FX368" s="19"/>
      <c r="FY368" s="19"/>
      <c r="FZ368" s="19"/>
      <c r="GA368" s="19"/>
      <c r="GB368" s="19"/>
      <c r="GC368" s="20"/>
      <c r="GD368" s="20"/>
      <c r="GE368" s="21"/>
      <c r="GF368" s="21"/>
      <c r="GG368" s="21"/>
      <c r="GH368" s="21"/>
      <c r="GI368" s="21"/>
      <c r="GJ368" s="21"/>
      <c r="GK368" s="21"/>
      <c r="GL368" s="21"/>
      <c r="GM368" s="19"/>
      <c r="GN368" s="19"/>
      <c r="GO368" s="22"/>
      <c r="GP368" s="22"/>
      <c r="GQ368" s="22"/>
      <c r="GR368" s="22"/>
      <c r="GS368" s="22"/>
      <c r="GT368" s="22"/>
      <c r="GU368" s="43"/>
      <c r="GV368" s="19"/>
      <c r="GW368" s="19"/>
      <c r="GX368" s="19"/>
      <c r="GY368" s="19"/>
      <c r="GZ368" s="23"/>
      <c r="HA368" s="22"/>
      <c r="HB368" s="22"/>
      <c r="HC368" s="22"/>
      <c r="HD368" s="22"/>
      <c r="HE368" s="22"/>
      <c r="HF368" s="22"/>
      <c r="HG368" s="233"/>
    </row>
    <row r="369" spans="2:215" ht="15.75">
      <c r="B369" s="10"/>
      <c r="C369" s="184" t="s">
        <v>142</v>
      </c>
      <c r="D369" s="73"/>
      <c r="E369" s="73"/>
      <c r="F369" s="74"/>
      <c r="G369" s="74"/>
      <c r="H369" s="74"/>
      <c r="I369" s="73"/>
      <c r="J369" s="74"/>
      <c r="K369" s="74"/>
      <c r="L369" s="74"/>
      <c r="M369" s="191"/>
      <c r="N369" s="191"/>
      <c r="O369" s="74"/>
      <c r="P369" s="74"/>
      <c r="Q369" s="74"/>
      <c r="R369" s="191"/>
      <c r="S369" s="74"/>
      <c r="T369" s="74"/>
      <c r="U369" s="74"/>
      <c r="V369" s="52"/>
      <c r="W369" s="52"/>
      <c r="X369" s="52"/>
      <c r="Y369" s="52"/>
      <c r="Z369" s="22"/>
      <c r="AA369" s="52"/>
      <c r="AB369" s="22"/>
      <c r="AC369" s="52"/>
      <c r="AD369" s="22">
        <v>122.36</v>
      </c>
      <c r="AE369" s="22">
        <f>+IF(AC369=0,,AF369/AC369*100)</f>
        <v>0</v>
      </c>
      <c r="AF369" s="22">
        <v>122.36</v>
      </c>
      <c r="AG369" s="22">
        <f t="shared" si="1361"/>
        <v>100</v>
      </c>
      <c r="AH369" s="52"/>
      <c r="AI369" s="52"/>
      <c r="AJ369" s="52"/>
      <c r="AK369" s="52"/>
      <c r="AL369" s="22"/>
      <c r="AM369" s="52"/>
      <c r="AN369" s="22"/>
      <c r="AO369" s="22"/>
      <c r="AP369" s="22"/>
      <c r="AQ369" s="22"/>
      <c r="AR369" s="22">
        <v>50.94</v>
      </c>
      <c r="AS369" s="22">
        <f>+IF(AQ369=0,,AT369/AQ369*100)</f>
        <v>0</v>
      </c>
      <c r="AT369" s="22">
        <v>56.39</v>
      </c>
      <c r="AU369" s="22">
        <f t="shared" si="1324"/>
        <v>110.69886140557519</v>
      </c>
      <c r="AV369" s="77"/>
      <c r="AW369" s="77"/>
      <c r="AX369" s="239" t="s">
        <v>491</v>
      </c>
      <c r="AY369" s="22">
        <f t="shared" si="1340"/>
        <v>140.36800000000002</v>
      </c>
      <c r="AZ369" s="22">
        <f>+[3]БПр!$AC$1098/1000</f>
        <v>98.62</v>
      </c>
      <c r="BA369" s="22">
        <f>+[3]БПр!$AB$1098/1000</f>
        <v>23.306000000000004</v>
      </c>
      <c r="BB369" s="22">
        <f>+[3]БПр!$AD$1098/1000</f>
        <v>18.442</v>
      </c>
      <c r="BC369" s="22">
        <v>122.36</v>
      </c>
      <c r="BD369" s="22">
        <v>122.36</v>
      </c>
      <c r="BE369" s="22">
        <f t="shared" si="1341"/>
        <v>100</v>
      </c>
      <c r="BF369" s="22">
        <v>56.39</v>
      </c>
      <c r="BG369" s="22">
        <v>58.75</v>
      </c>
      <c r="BH369" s="22">
        <f t="shared" si="1342"/>
        <v>104.18513920907961</v>
      </c>
      <c r="BI369" s="22"/>
      <c r="BJ369" s="239" t="s">
        <v>492</v>
      </c>
      <c r="BK369" s="19"/>
      <c r="BL369" s="19"/>
      <c r="BM369" s="19"/>
      <c r="BN369" s="19"/>
      <c r="BO369" s="19"/>
      <c r="BP369" s="19"/>
      <c r="BQ369" s="19"/>
      <c r="BR369" s="19"/>
      <c r="BS369" s="19"/>
      <c r="BT369" s="19"/>
      <c r="BU369" s="19"/>
      <c r="BV369" s="19"/>
      <c r="BW369" s="19"/>
      <c r="BX369" s="19"/>
      <c r="BY369" s="19"/>
      <c r="BZ369" s="19"/>
      <c r="CA369" s="19"/>
      <c r="CB369" s="19"/>
      <c r="CC369" s="19"/>
      <c r="CD369" s="19"/>
      <c r="CE369" s="48"/>
      <c r="CF369" s="48"/>
      <c r="CG369" s="48"/>
      <c r="CH369" s="48"/>
      <c r="CI369" s="48"/>
      <c r="CJ369" s="48"/>
      <c r="CK369" s="48"/>
      <c r="CL369" s="48"/>
      <c r="CM369" s="48"/>
      <c r="CN369" s="48"/>
      <c r="CO369" s="48"/>
      <c r="CP369" s="48"/>
      <c r="CQ369" s="48"/>
      <c r="CR369" s="48"/>
      <c r="CS369" s="48"/>
      <c r="CT369" s="48"/>
      <c r="CU369" s="48"/>
      <c r="CV369" s="48"/>
      <c r="CW369" s="19"/>
      <c r="CX369" s="19"/>
      <c r="CY369" s="19"/>
      <c r="CZ369" s="19"/>
      <c r="DA369" s="21"/>
      <c r="DB369" s="21"/>
      <c r="DC369" s="79"/>
      <c r="DD369" s="79"/>
      <c r="DE369" s="79"/>
      <c r="DF369" s="79"/>
      <c r="DG369" s="79"/>
      <c r="DH369" s="51"/>
      <c r="DI369" s="39"/>
      <c r="DJ369" s="80"/>
      <c r="DK369" s="39"/>
      <c r="DL369" s="39"/>
      <c r="DM369" s="48"/>
      <c r="DN369" s="39"/>
      <c r="DO369" s="39"/>
      <c r="DP369" s="39"/>
      <c r="DQ369" s="39"/>
      <c r="DR369" s="39"/>
      <c r="DS369" s="39"/>
      <c r="DT369" s="39"/>
      <c r="DU369" s="19">
        <f t="shared" si="1353"/>
        <v>4712.86593220339</v>
      </c>
      <c r="DV369" s="40">
        <f>+(BG369*AZ369)</f>
        <v>5793.9250000000002</v>
      </c>
      <c r="DW369" s="40">
        <f t="shared" si="1363"/>
        <v>12067.1432</v>
      </c>
      <c r="DX369" s="46"/>
      <c r="DY369" s="21">
        <f t="shared" si="1327"/>
        <v>48.014056881333765</v>
      </c>
      <c r="DZ369" s="19">
        <f t="shared" si="1354"/>
        <v>17.175428480000001</v>
      </c>
      <c r="EA369" s="19">
        <f t="shared" si="1355"/>
        <v>17.175428480000001</v>
      </c>
      <c r="EB369" s="19"/>
      <c r="EC369" s="48">
        <f>+(BC369-BF369)*AZ369</f>
        <v>6505.9614000000001</v>
      </c>
      <c r="ED369" s="48">
        <f>+(BD369-BG369)*AZ369</f>
        <v>6273.2182000000003</v>
      </c>
      <c r="EE369" s="22">
        <v>122.36</v>
      </c>
      <c r="EF369" s="22">
        <v>129.69999999999999</v>
      </c>
      <c r="EG369" s="22">
        <f t="shared" si="1325"/>
        <v>105.99869238313173</v>
      </c>
      <c r="EH369" s="22">
        <v>58.75</v>
      </c>
      <c r="EI369" s="22">
        <v>63.71</v>
      </c>
      <c r="EJ369" s="22">
        <f t="shared" si="1326"/>
        <v>108.44255319148937</v>
      </c>
      <c r="EK369" s="239" t="s">
        <v>493</v>
      </c>
      <c r="EL369" s="19">
        <v>140.37</v>
      </c>
      <c r="EM369" s="19">
        <v>98.62</v>
      </c>
      <c r="EN369" s="40">
        <f>+(EI369*EM369)</f>
        <v>6283.0802000000003</v>
      </c>
      <c r="EO369" s="40">
        <f t="shared" si="1440"/>
        <v>12791.013999999999</v>
      </c>
      <c r="EP369" s="40"/>
      <c r="EQ369" s="21">
        <f t="shared" si="1356"/>
        <v>49.121048573631462</v>
      </c>
      <c r="ER369" s="21"/>
      <c r="ES369" s="21">
        <f t="shared" si="1441"/>
        <v>17175.673200000001</v>
      </c>
      <c r="ET369" s="21"/>
      <c r="EU369" s="19">
        <f t="shared" si="1429"/>
        <v>18205.988999999998</v>
      </c>
      <c r="EV369" s="21"/>
      <c r="EW369" s="39"/>
      <c r="EX369" s="39">
        <f t="shared" si="1357"/>
        <v>17175.428480000002</v>
      </c>
      <c r="EY369" s="39">
        <f t="shared" si="1367"/>
        <v>18205.729600000002</v>
      </c>
      <c r="EZ369" s="39"/>
      <c r="FA369" s="39"/>
      <c r="FB369" s="39"/>
      <c r="FC369" s="39"/>
      <c r="FD369" s="39"/>
      <c r="FE369" s="39"/>
      <c r="FF369" s="39"/>
      <c r="FG369" s="39"/>
      <c r="FH369" s="39"/>
      <c r="FI369" s="39"/>
      <c r="FJ369" s="19">
        <f>+(EE369-EH369)*EM369</f>
        <v>6273.2182000000003</v>
      </c>
      <c r="FK369" s="19">
        <f>+(EF369-EI369)*EM369</f>
        <v>6507.933799999998</v>
      </c>
      <c r="FL369" s="19">
        <f t="shared" si="1430"/>
        <v>12781.151999999998</v>
      </c>
      <c r="FM369" s="19">
        <v>140.36799999999999</v>
      </c>
      <c r="FN369" s="19">
        <v>98.62</v>
      </c>
      <c r="FO369" s="22">
        <v>138.06</v>
      </c>
      <c r="FP369" s="22">
        <v>141.47999999999999</v>
      </c>
      <c r="FQ369" s="22"/>
      <c r="FR369" s="22">
        <v>85.78</v>
      </c>
      <c r="FS369" s="22">
        <v>85.78</v>
      </c>
      <c r="FT369" s="22"/>
      <c r="FU369" s="239" t="s">
        <v>705</v>
      </c>
      <c r="FV369" s="19"/>
      <c r="FW369" s="19"/>
      <c r="FX369" s="19"/>
      <c r="FY369" s="19"/>
      <c r="FZ369" s="19"/>
      <c r="GA369" s="19"/>
      <c r="GB369" s="19"/>
      <c r="GC369" s="20"/>
      <c r="GD369" s="20"/>
      <c r="GE369" s="21"/>
      <c r="GF369" s="21"/>
      <c r="GG369" s="21"/>
      <c r="GH369" s="21"/>
      <c r="GI369" s="21"/>
      <c r="GJ369" s="21"/>
      <c r="GK369" s="21"/>
      <c r="GL369" s="21"/>
      <c r="GM369" s="19"/>
      <c r="GN369" s="19"/>
      <c r="GO369" s="22">
        <v>141.47999999999999</v>
      </c>
      <c r="GP369" s="22">
        <v>145.29</v>
      </c>
      <c r="GQ369" s="22"/>
      <c r="GR369" s="22">
        <v>85.87</v>
      </c>
      <c r="GS369" s="22">
        <v>89.21</v>
      </c>
      <c r="GT369" s="22"/>
      <c r="GU369" s="239" t="s">
        <v>705</v>
      </c>
      <c r="GV369" s="19"/>
      <c r="GW369" s="19"/>
      <c r="GX369" s="19"/>
      <c r="GY369" s="19"/>
      <c r="GZ369" s="23"/>
      <c r="HA369" s="22">
        <v>145.29</v>
      </c>
      <c r="HB369" s="22">
        <v>148.69</v>
      </c>
      <c r="HC369" s="22"/>
      <c r="HD369" s="22">
        <v>89.21</v>
      </c>
      <c r="HE369" s="22">
        <v>92.78</v>
      </c>
      <c r="HF369" s="22"/>
      <c r="HG369" s="239" t="s">
        <v>705</v>
      </c>
    </row>
    <row r="370" spans="2:215" ht="15.75">
      <c r="B370" s="10"/>
      <c r="C370" s="184" t="s">
        <v>143</v>
      </c>
      <c r="D370" s="73"/>
      <c r="E370" s="73"/>
      <c r="F370" s="74"/>
      <c r="G370" s="74"/>
      <c r="H370" s="74"/>
      <c r="I370" s="73"/>
      <c r="J370" s="74"/>
      <c r="K370" s="74"/>
      <c r="L370" s="74"/>
      <c r="M370" s="191"/>
      <c r="N370" s="191"/>
      <c r="O370" s="74"/>
      <c r="P370" s="74"/>
      <c r="Q370" s="74"/>
      <c r="R370" s="191"/>
      <c r="S370" s="74"/>
      <c r="T370" s="74"/>
      <c r="U370" s="74"/>
      <c r="V370" s="52"/>
      <c r="W370" s="52"/>
      <c r="X370" s="52"/>
      <c r="Y370" s="52"/>
      <c r="Z370" s="22"/>
      <c r="AA370" s="52"/>
      <c r="AB370" s="22"/>
      <c r="AC370" s="52"/>
      <c r="AD370" s="22">
        <v>89.63</v>
      </c>
      <c r="AE370" s="22"/>
      <c r="AF370" s="22">
        <v>89.63</v>
      </c>
      <c r="AG370" s="22">
        <f t="shared" si="1361"/>
        <v>100</v>
      </c>
      <c r="AH370" s="52"/>
      <c r="AI370" s="52"/>
      <c r="AJ370" s="52"/>
      <c r="AK370" s="52"/>
      <c r="AL370" s="22"/>
      <c r="AM370" s="52"/>
      <c r="AN370" s="22"/>
      <c r="AO370" s="22"/>
      <c r="AP370" s="22"/>
      <c r="AQ370" s="22"/>
      <c r="AR370" s="22">
        <v>35.65</v>
      </c>
      <c r="AS370" s="22"/>
      <c r="AT370" s="22">
        <v>39.450000000000003</v>
      </c>
      <c r="AU370" s="22">
        <f t="shared" ref="AU370:AU403" si="1459">+IF(AR370=0,,AT370/AR370*100)</f>
        <v>110.65918653576439</v>
      </c>
      <c r="AV370" s="77"/>
      <c r="AW370" s="77"/>
      <c r="AX370" s="239"/>
      <c r="AY370" s="22">
        <f t="shared" si="1340"/>
        <v>87.15100000000001</v>
      </c>
      <c r="AZ370" s="22">
        <f>+[4]БПр!$O$1182/1000</f>
        <v>63.141000000000012</v>
      </c>
      <c r="BA370" s="22">
        <f>+[4]БПр!$N$1182/1000</f>
        <v>18.014999999999997</v>
      </c>
      <c r="BB370" s="22">
        <f>+[4]БПр!$P$1182/1000+[4]БПр!$L$1182/1000</f>
        <v>5.995000000000001</v>
      </c>
      <c r="BC370" s="22">
        <v>89.63</v>
      </c>
      <c r="BD370" s="22">
        <v>89.63</v>
      </c>
      <c r="BE370" s="22">
        <f t="shared" si="1341"/>
        <v>100</v>
      </c>
      <c r="BF370" s="22">
        <v>39.450000000000003</v>
      </c>
      <c r="BG370" s="22">
        <v>41.1</v>
      </c>
      <c r="BH370" s="22">
        <f t="shared" si="1342"/>
        <v>104.18250950570342</v>
      </c>
      <c r="BI370" s="22"/>
      <c r="BJ370" s="239"/>
      <c r="BK370" s="19"/>
      <c r="BL370" s="19"/>
      <c r="BM370" s="19"/>
      <c r="BN370" s="19"/>
      <c r="BO370" s="19"/>
      <c r="BP370" s="19"/>
      <c r="BQ370" s="19"/>
      <c r="BR370" s="19"/>
      <c r="BS370" s="19"/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48"/>
      <c r="CF370" s="48"/>
      <c r="CG370" s="48"/>
      <c r="CH370" s="48"/>
      <c r="CI370" s="48"/>
      <c r="CJ370" s="48"/>
      <c r="CK370" s="48"/>
      <c r="CL370" s="48"/>
      <c r="CM370" s="48"/>
      <c r="CN370" s="48"/>
      <c r="CO370" s="48"/>
      <c r="CP370" s="48"/>
      <c r="CQ370" s="48"/>
      <c r="CR370" s="48"/>
      <c r="CS370" s="48"/>
      <c r="CT370" s="48"/>
      <c r="CU370" s="48"/>
      <c r="CV370" s="48"/>
      <c r="CW370" s="19"/>
      <c r="CX370" s="19"/>
      <c r="CY370" s="19"/>
      <c r="CZ370" s="19"/>
      <c r="DA370" s="21"/>
      <c r="DB370" s="21"/>
      <c r="DC370" s="79"/>
      <c r="DD370" s="79"/>
      <c r="DE370" s="79"/>
      <c r="DF370" s="79"/>
      <c r="DG370" s="79"/>
      <c r="DH370" s="51"/>
      <c r="DI370" s="39"/>
      <c r="DJ370" s="80"/>
      <c r="DK370" s="39"/>
      <c r="DL370" s="39"/>
      <c r="DM370" s="48"/>
      <c r="DN370" s="39"/>
      <c r="DO370" s="39"/>
      <c r="DP370" s="39"/>
      <c r="DQ370" s="39"/>
      <c r="DR370" s="39"/>
      <c r="DS370" s="39"/>
      <c r="DT370" s="39"/>
      <c r="DU370" s="19">
        <f t="shared" si="1353"/>
        <v>2110.9427542372887</v>
      </c>
      <c r="DV370" s="40">
        <f>+(BG370*AZ370)/1.18</f>
        <v>2199.233135593221</v>
      </c>
      <c r="DW370" s="40">
        <f t="shared" si="1363"/>
        <v>5659.3278300000011</v>
      </c>
      <c r="DX370" s="46"/>
      <c r="DY370" s="21">
        <f t="shared" si="1327"/>
        <v>38.860324081865755</v>
      </c>
      <c r="DZ370" s="19">
        <f t="shared" si="1354"/>
        <v>7.8113441300000002</v>
      </c>
      <c r="EA370" s="19">
        <f t="shared" si="1355"/>
        <v>7.8113441300000002</v>
      </c>
      <c r="EB370" s="19"/>
      <c r="EC370" s="48">
        <f>+(BC370-BF370)*AZ370</f>
        <v>3168.4153800000004</v>
      </c>
      <c r="ED370" s="48">
        <f>+(BD370-BG370)*AZ370</f>
        <v>3064.2327300000002</v>
      </c>
      <c r="EE370" s="22">
        <v>89.63</v>
      </c>
      <c r="EF370" s="22">
        <v>95.01</v>
      </c>
      <c r="EG370" s="22">
        <f t="shared" si="1325"/>
        <v>106.00245453531186</v>
      </c>
      <c r="EH370" s="22">
        <v>41.1</v>
      </c>
      <c r="EI370" s="22">
        <v>44.57</v>
      </c>
      <c r="EJ370" s="22">
        <f t="shared" si="1326"/>
        <v>108.44282238442821</v>
      </c>
      <c r="EK370" s="239"/>
      <c r="EL370" s="19">
        <v>87.15</v>
      </c>
      <c r="EM370" s="19">
        <v>63.14</v>
      </c>
      <c r="EN370" s="40">
        <f>+(EI370*EM370)</f>
        <v>2814.1498000000001</v>
      </c>
      <c r="EO370" s="40">
        <f t="shared" si="1440"/>
        <v>5998.9314000000004</v>
      </c>
      <c r="EP370" s="40"/>
      <c r="EQ370" s="21">
        <f t="shared" si="1356"/>
        <v>46.910851489316912</v>
      </c>
      <c r="ER370" s="21"/>
      <c r="ES370" s="21">
        <f t="shared" si="1441"/>
        <v>7811.2545</v>
      </c>
      <c r="ET370" s="21"/>
      <c r="EU370" s="19">
        <f t="shared" si="1429"/>
        <v>8280.1215000000011</v>
      </c>
      <c r="EV370" s="21"/>
      <c r="EW370" s="39"/>
      <c r="EX370" s="39">
        <f t="shared" si="1357"/>
        <v>7811.3441300000004</v>
      </c>
      <c r="EY370" s="39">
        <f t="shared" si="1367"/>
        <v>8280.216510000002</v>
      </c>
      <c r="EZ370" s="39"/>
      <c r="FA370" s="39"/>
      <c r="FB370" s="39"/>
      <c r="FC370" s="39"/>
      <c r="FD370" s="39"/>
      <c r="FE370" s="39"/>
      <c r="FF370" s="39"/>
      <c r="FG370" s="39"/>
      <c r="FH370" s="39"/>
      <c r="FI370" s="39"/>
      <c r="FJ370" s="19">
        <f>+(EE370-EH370)*EM370</f>
        <v>3064.1841999999997</v>
      </c>
      <c r="FK370" s="19">
        <f>+(EF370-EI370)*EM370</f>
        <v>3184.7816000000003</v>
      </c>
      <c r="FL370" s="19">
        <f t="shared" si="1430"/>
        <v>6248.9657999999999</v>
      </c>
      <c r="FM370" s="19">
        <v>87.150999999999996</v>
      </c>
      <c r="FN370" s="19">
        <v>63.140999999999998</v>
      </c>
      <c r="FO370" s="22">
        <v>101.38</v>
      </c>
      <c r="FP370" s="22">
        <v>103.64</v>
      </c>
      <c r="FQ370" s="22"/>
      <c r="FR370" s="22">
        <v>60.01</v>
      </c>
      <c r="FS370" s="22">
        <v>60.01</v>
      </c>
      <c r="FT370" s="22"/>
      <c r="FU370" s="239"/>
      <c r="FV370" s="19"/>
      <c r="FW370" s="19"/>
      <c r="FX370" s="19"/>
      <c r="FY370" s="19"/>
      <c r="FZ370" s="19"/>
      <c r="GA370" s="19"/>
      <c r="GB370" s="19"/>
      <c r="GC370" s="20"/>
      <c r="GD370" s="20"/>
      <c r="GE370" s="21"/>
      <c r="GF370" s="21"/>
      <c r="GG370" s="21"/>
      <c r="GH370" s="21"/>
      <c r="GI370" s="21"/>
      <c r="GJ370" s="21"/>
      <c r="GK370" s="21"/>
      <c r="GL370" s="21"/>
      <c r="GM370" s="19"/>
      <c r="GN370" s="19"/>
      <c r="GO370" s="22">
        <v>103.64</v>
      </c>
      <c r="GP370" s="22">
        <v>106.35</v>
      </c>
      <c r="GQ370" s="22"/>
      <c r="GR370" s="22">
        <v>60.01</v>
      </c>
      <c r="GS370" s="22">
        <v>62.41</v>
      </c>
      <c r="GT370" s="22"/>
      <c r="GU370" s="239"/>
      <c r="GV370" s="19"/>
      <c r="GW370" s="19"/>
      <c r="GX370" s="19"/>
      <c r="GY370" s="19"/>
      <c r="GZ370" s="23"/>
      <c r="HA370" s="22">
        <v>106.35</v>
      </c>
      <c r="HB370" s="22">
        <v>108.71</v>
      </c>
      <c r="HC370" s="22"/>
      <c r="HD370" s="22">
        <v>62.41</v>
      </c>
      <c r="HE370" s="22">
        <v>64.91</v>
      </c>
      <c r="HF370" s="22"/>
      <c r="HG370" s="239"/>
    </row>
    <row r="371" spans="2:215" ht="15.6" customHeight="1">
      <c r="B371" s="11" t="s">
        <v>494</v>
      </c>
      <c r="C371" s="81" t="s">
        <v>607</v>
      </c>
      <c r="D371" s="144"/>
      <c r="E371" s="144"/>
      <c r="F371" s="74"/>
      <c r="G371" s="74"/>
      <c r="H371" s="74"/>
      <c r="I371" s="144"/>
      <c r="J371" s="74"/>
      <c r="K371" s="74"/>
      <c r="L371" s="74"/>
      <c r="M371" s="144"/>
      <c r="N371" s="144"/>
      <c r="O371" s="74"/>
      <c r="P371" s="74"/>
      <c r="Q371" s="74"/>
      <c r="R371" s="144"/>
      <c r="S371" s="74"/>
      <c r="T371" s="74"/>
      <c r="U371" s="74"/>
      <c r="V371" s="130"/>
      <c r="W371" s="130"/>
      <c r="X371" s="22"/>
      <c r="Y371" s="130"/>
      <c r="Z371" s="22"/>
      <c r="AA371" s="130"/>
      <c r="AB371" s="22"/>
      <c r="AC371" s="130"/>
      <c r="AD371" s="130"/>
      <c r="AE371" s="22"/>
      <c r="AF371" s="22"/>
      <c r="AG371" s="22"/>
      <c r="AH371" s="52"/>
      <c r="AI371" s="52"/>
      <c r="AJ371" s="22"/>
      <c r="AK371" s="52"/>
      <c r="AL371" s="22"/>
      <c r="AM371" s="52"/>
      <c r="AN371" s="22"/>
      <c r="AO371" s="22"/>
      <c r="AP371" s="22"/>
      <c r="AQ371" s="22"/>
      <c r="AR371" s="22"/>
      <c r="AS371" s="22"/>
      <c r="AT371" s="22"/>
      <c r="AU371" s="22"/>
      <c r="AV371" s="77"/>
      <c r="AW371" s="77"/>
      <c r="AX371" s="78"/>
      <c r="AY371" s="22"/>
      <c r="AZ371" s="22"/>
      <c r="BA371" s="22"/>
      <c r="BB371" s="22"/>
      <c r="BC371" s="22"/>
      <c r="BD371" s="22"/>
      <c r="BE371" s="22"/>
      <c r="BF371" s="22"/>
      <c r="BG371" s="22"/>
      <c r="BH371" s="22"/>
      <c r="BI371" s="22"/>
      <c r="BJ371" s="40"/>
      <c r="BK371" s="19"/>
      <c r="BL371" s="19"/>
      <c r="BM371" s="19"/>
      <c r="BN371" s="19"/>
      <c r="BO371" s="19"/>
      <c r="BP371" s="19"/>
      <c r="BQ371" s="19"/>
      <c r="BR371" s="19"/>
      <c r="BS371" s="19"/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48"/>
      <c r="CF371" s="48"/>
      <c r="CG371" s="48"/>
      <c r="CH371" s="48"/>
      <c r="CI371" s="48"/>
      <c r="CJ371" s="48"/>
      <c r="CK371" s="48"/>
      <c r="CL371" s="48"/>
      <c r="CM371" s="48"/>
      <c r="CN371" s="48"/>
      <c r="CO371" s="48"/>
      <c r="CP371" s="48"/>
      <c r="CQ371" s="48"/>
      <c r="CR371" s="48"/>
      <c r="CS371" s="48"/>
      <c r="CT371" s="48"/>
      <c r="CU371" s="48"/>
      <c r="CV371" s="48"/>
      <c r="CW371" s="19"/>
      <c r="CX371" s="19"/>
      <c r="CY371" s="19"/>
      <c r="CZ371" s="19"/>
      <c r="DA371" s="21"/>
      <c r="DB371" s="21"/>
      <c r="DC371" s="79"/>
      <c r="DD371" s="79"/>
      <c r="DE371" s="79"/>
      <c r="DF371" s="79"/>
      <c r="DG371" s="79"/>
      <c r="DH371" s="51"/>
      <c r="DI371" s="39"/>
      <c r="DJ371" s="80"/>
      <c r="DK371" s="39"/>
      <c r="DL371" s="39"/>
      <c r="DM371" s="48"/>
      <c r="DN371" s="39"/>
      <c r="DO371" s="39"/>
      <c r="DP371" s="39"/>
      <c r="DQ371" s="39"/>
      <c r="DR371" s="39"/>
      <c r="DS371" s="39"/>
      <c r="DT371" s="39"/>
      <c r="DU371" s="19"/>
      <c r="DV371" s="40"/>
      <c r="DW371" s="40"/>
      <c r="DX371" s="46"/>
      <c r="DY371" s="21"/>
      <c r="DZ371" s="19"/>
      <c r="EA371" s="19"/>
      <c r="EB371" s="19"/>
      <c r="EC371" s="48"/>
      <c r="ED371" s="48"/>
      <c r="EE371" s="22"/>
      <c r="EF371" s="22"/>
      <c r="EG371" s="22"/>
      <c r="EH371" s="22"/>
      <c r="EI371" s="22"/>
      <c r="EJ371" s="22"/>
      <c r="EK371" s="40"/>
      <c r="EL371" s="19"/>
      <c r="EM371" s="19"/>
      <c r="EN371" s="40"/>
      <c r="EO371" s="40"/>
      <c r="EP371" s="40"/>
      <c r="EQ371" s="21"/>
      <c r="ER371" s="21"/>
      <c r="ES371" s="21"/>
      <c r="ET371" s="21"/>
      <c r="EU371" s="19"/>
      <c r="EV371" s="21"/>
      <c r="EW371" s="39"/>
      <c r="EX371" s="39"/>
      <c r="EY371" s="39"/>
      <c r="EZ371" s="39"/>
      <c r="FA371" s="39"/>
      <c r="FB371" s="39"/>
      <c r="FC371" s="39"/>
      <c r="FD371" s="39"/>
      <c r="FE371" s="39"/>
      <c r="FF371" s="39"/>
      <c r="FG371" s="39"/>
      <c r="FH371" s="39"/>
      <c r="FI371" s="39"/>
      <c r="FJ371" s="19"/>
      <c r="FK371" s="19"/>
      <c r="FL371" s="19"/>
      <c r="FM371" s="19"/>
      <c r="FN371" s="19"/>
      <c r="FO371" s="22"/>
      <c r="FP371" s="39"/>
      <c r="FQ371" s="22"/>
      <c r="FR371" s="22"/>
      <c r="FS371" s="22"/>
      <c r="FT371" s="22"/>
      <c r="FU371" s="40"/>
      <c r="FV371" s="19"/>
      <c r="FW371" s="19"/>
      <c r="FX371" s="19"/>
      <c r="FY371" s="19"/>
      <c r="FZ371" s="19"/>
      <c r="GA371" s="19"/>
      <c r="GB371" s="19"/>
      <c r="GC371" s="20"/>
      <c r="GD371" s="20"/>
      <c r="GE371" s="21"/>
      <c r="GF371" s="21"/>
      <c r="GG371" s="21"/>
      <c r="GH371" s="21"/>
      <c r="GI371" s="21"/>
      <c r="GJ371" s="21"/>
      <c r="GK371" s="21"/>
      <c r="GL371" s="21"/>
      <c r="GM371" s="19"/>
      <c r="GN371" s="19"/>
      <c r="GO371" s="22"/>
      <c r="GP371" s="22"/>
      <c r="GQ371" s="22"/>
      <c r="GR371" s="22"/>
      <c r="GS371" s="22"/>
      <c r="GT371" s="22"/>
      <c r="GU371" s="43"/>
      <c r="GV371" s="19"/>
      <c r="GW371" s="19"/>
      <c r="GX371" s="19"/>
      <c r="GY371" s="19"/>
      <c r="GZ371" s="23"/>
      <c r="HA371" s="22"/>
      <c r="HB371" s="22"/>
      <c r="HC371" s="22"/>
      <c r="HD371" s="22"/>
      <c r="HE371" s="22"/>
      <c r="HF371" s="22"/>
      <c r="HG371" s="233"/>
    </row>
    <row r="372" spans="2:215" ht="15.6" customHeight="1">
      <c r="B372" s="11"/>
      <c r="C372" s="161" t="s">
        <v>153</v>
      </c>
      <c r="D372" s="144"/>
      <c r="E372" s="144"/>
      <c r="F372" s="74"/>
      <c r="G372" s="74"/>
      <c r="H372" s="74"/>
      <c r="I372" s="144"/>
      <c r="J372" s="74"/>
      <c r="K372" s="74"/>
      <c r="L372" s="74"/>
      <c r="M372" s="144"/>
      <c r="N372" s="144"/>
      <c r="O372" s="74"/>
      <c r="P372" s="74"/>
      <c r="Q372" s="74"/>
      <c r="R372" s="144"/>
      <c r="S372" s="74"/>
      <c r="T372" s="74"/>
      <c r="U372" s="74"/>
      <c r="V372" s="130"/>
      <c r="W372" s="130"/>
      <c r="X372" s="22"/>
      <c r="Y372" s="130"/>
      <c r="Z372" s="22"/>
      <c r="AA372" s="130"/>
      <c r="AB372" s="22"/>
      <c r="AC372" s="130"/>
      <c r="AD372" s="130"/>
      <c r="AE372" s="22"/>
      <c r="AF372" s="22"/>
      <c r="AG372" s="22"/>
      <c r="AH372" s="52"/>
      <c r="AI372" s="52"/>
      <c r="AJ372" s="22"/>
      <c r="AK372" s="52"/>
      <c r="AL372" s="22"/>
      <c r="AM372" s="52"/>
      <c r="AN372" s="22"/>
      <c r="AO372" s="22"/>
      <c r="AP372" s="22"/>
      <c r="AQ372" s="22"/>
      <c r="AR372" s="22"/>
      <c r="AS372" s="22"/>
      <c r="AT372" s="22"/>
      <c r="AU372" s="22"/>
      <c r="AV372" s="77"/>
      <c r="AW372" s="77"/>
      <c r="AX372" s="78"/>
      <c r="AY372" s="22"/>
      <c r="AZ372" s="22"/>
      <c r="BA372" s="22"/>
      <c r="BB372" s="22"/>
      <c r="BC372" s="22"/>
      <c r="BD372" s="22"/>
      <c r="BE372" s="22"/>
      <c r="BF372" s="22"/>
      <c r="BG372" s="22"/>
      <c r="BH372" s="22"/>
      <c r="BI372" s="22"/>
      <c r="BJ372" s="40"/>
      <c r="BK372" s="19"/>
      <c r="BL372" s="19"/>
      <c r="BM372" s="19"/>
      <c r="BN372" s="19"/>
      <c r="BO372" s="19"/>
      <c r="BP372" s="19"/>
      <c r="BQ372" s="19"/>
      <c r="BR372" s="19"/>
      <c r="BS372" s="19"/>
      <c r="BT372" s="19"/>
      <c r="BU372" s="19"/>
      <c r="BV372" s="19"/>
      <c r="BW372" s="19"/>
      <c r="BX372" s="19"/>
      <c r="BY372" s="19"/>
      <c r="BZ372" s="19"/>
      <c r="CA372" s="19"/>
      <c r="CB372" s="19"/>
      <c r="CC372" s="19"/>
      <c r="CD372" s="19"/>
      <c r="CE372" s="48"/>
      <c r="CF372" s="48"/>
      <c r="CG372" s="48"/>
      <c r="CH372" s="48"/>
      <c r="CI372" s="48"/>
      <c r="CJ372" s="48"/>
      <c r="CK372" s="48"/>
      <c r="CL372" s="48"/>
      <c r="CM372" s="48"/>
      <c r="CN372" s="48"/>
      <c r="CO372" s="48"/>
      <c r="CP372" s="48"/>
      <c r="CQ372" s="48"/>
      <c r="CR372" s="48"/>
      <c r="CS372" s="48"/>
      <c r="CT372" s="48"/>
      <c r="CU372" s="48"/>
      <c r="CV372" s="48"/>
      <c r="CW372" s="19"/>
      <c r="CX372" s="19"/>
      <c r="CY372" s="19"/>
      <c r="CZ372" s="19"/>
      <c r="DA372" s="21"/>
      <c r="DB372" s="21"/>
      <c r="DC372" s="79"/>
      <c r="DD372" s="79"/>
      <c r="DE372" s="79"/>
      <c r="DF372" s="79"/>
      <c r="DG372" s="79"/>
      <c r="DH372" s="51"/>
      <c r="DI372" s="39"/>
      <c r="DJ372" s="80"/>
      <c r="DK372" s="39"/>
      <c r="DL372" s="39"/>
      <c r="DM372" s="48"/>
      <c r="DN372" s="39"/>
      <c r="DO372" s="39"/>
      <c r="DP372" s="39"/>
      <c r="DQ372" s="39"/>
      <c r="DR372" s="39"/>
      <c r="DS372" s="39"/>
      <c r="DT372" s="39"/>
      <c r="DU372" s="19"/>
      <c r="DV372" s="40"/>
      <c r="DW372" s="40"/>
      <c r="DX372" s="46"/>
      <c r="DY372" s="21"/>
      <c r="DZ372" s="19"/>
      <c r="EA372" s="19"/>
      <c r="EB372" s="19"/>
      <c r="EC372" s="48"/>
      <c r="ED372" s="48"/>
      <c r="EE372" s="22"/>
      <c r="EF372" s="22"/>
      <c r="EG372" s="22"/>
      <c r="EH372" s="22"/>
      <c r="EI372" s="22"/>
      <c r="EJ372" s="22"/>
      <c r="EK372" s="40"/>
      <c r="EL372" s="19"/>
      <c r="EM372" s="19"/>
      <c r="EN372" s="40"/>
      <c r="EO372" s="40"/>
      <c r="EP372" s="40"/>
      <c r="EQ372" s="21"/>
      <c r="ER372" s="21"/>
      <c r="ES372" s="21"/>
      <c r="ET372" s="21"/>
      <c r="EU372" s="19"/>
      <c r="EV372" s="21"/>
      <c r="EW372" s="39"/>
      <c r="EX372" s="39"/>
      <c r="EY372" s="39"/>
      <c r="EZ372" s="39"/>
      <c r="FA372" s="39"/>
      <c r="FB372" s="39"/>
      <c r="FC372" s="39"/>
      <c r="FD372" s="39"/>
      <c r="FE372" s="39"/>
      <c r="FF372" s="39"/>
      <c r="FG372" s="39"/>
      <c r="FH372" s="39"/>
      <c r="FI372" s="39"/>
      <c r="FJ372" s="19"/>
      <c r="FK372" s="19"/>
      <c r="FL372" s="19"/>
      <c r="FM372" s="19"/>
      <c r="FN372" s="19"/>
      <c r="FO372" s="22">
        <v>9959.61</v>
      </c>
      <c r="FP372" s="52">
        <v>10382.51</v>
      </c>
      <c r="FQ372" s="22"/>
      <c r="FR372" s="22" t="s">
        <v>633</v>
      </c>
      <c r="FS372" s="22" t="s">
        <v>633</v>
      </c>
      <c r="FT372" s="22"/>
      <c r="FU372" s="40" t="s">
        <v>657</v>
      </c>
      <c r="FV372" s="19"/>
      <c r="FW372" s="19"/>
      <c r="FX372" s="19"/>
      <c r="FY372" s="19"/>
      <c r="FZ372" s="19"/>
      <c r="GA372" s="19"/>
      <c r="GB372" s="19"/>
      <c r="GC372" s="20"/>
      <c r="GD372" s="20"/>
      <c r="GE372" s="19"/>
      <c r="GF372" s="21"/>
      <c r="GG372" s="19"/>
      <c r="GH372" s="19"/>
      <c r="GI372" s="19"/>
      <c r="GJ372" s="21"/>
      <c r="GK372" s="19"/>
      <c r="GL372" s="19"/>
      <c r="GM372" s="19"/>
      <c r="GN372" s="19"/>
      <c r="GO372" s="22">
        <v>10382.51</v>
      </c>
      <c r="GP372" s="22">
        <v>10697.6</v>
      </c>
      <c r="GQ372" s="22"/>
      <c r="GR372" s="22" t="s">
        <v>633</v>
      </c>
      <c r="GS372" s="22" t="s">
        <v>633</v>
      </c>
      <c r="GT372" s="22"/>
      <c r="GU372" s="40" t="s">
        <v>657</v>
      </c>
      <c r="GV372" s="19"/>
      <c r="GW372" s="19"/>
      <c r="GX372" s="19"/>
      <c r="GY372" s="19"/>
      <c r="GZ372" s="23"/>
      <c r="HA372" s="22">
        <v>10697.6</v>
      </c>
      <c r="HB372" s="22">
        <v>11037.88</v>
      </c>
      <c r="HC372" s="22"/>
      <c r="HD372" s="52" t="s">
        <v>633</v>
      </c>
      <c r="HE372" s="22" t="s">
        <v>633</v>
      </c>
      <c r="HF372" s="22"/>
      <c r="HG372" s="236" t="s">
        <v>657</v>
      </c>
    </row>
    <row r="373" spans="2:215" ht="15.6" customHeight="1">
      <c r="B373" s="15"/>
      <c r="C373" s="81" t="s">
        <v>636</v>
      </c>
      <c r="D373" s="144"/>
      <c r="E373" s="144"/>
      <c r="F373" s="74"/>
      <c r="G373" s="74"/>
      <c r="H373" s="74"/>
      <c r="I373" s="144"/>
      <c r="J373" s="74"/>
      <c r="K373" s="74"/>
      <c r="L373" s="74"/>
      <c r="M373" s="144"/>
      <c r="N373" s="144"/>
      <c r="O373" s="74"/>
      <c r="P373" s="74"/>
      <c r="Q373" s="74"/>
      <c r="R373" s="144"/>
      <c r="S373" s="74"/>
      <c r="T373" s="74"/>
      <c r="U373" s="74"/>
      <c r="V373" s="130"/>
      <c r="W373" s="130"/>
      <c r="X373" s="22"/>
      <c r="Y373" s="130"/>
      <c r="Z373" s="22"/>
      <c r="AA373" s="130"/>
      <c r="AB373" s="22"/>
      <c r="AC373" s="130"/>
      <c r="AD373" s="130"/>
      <c r="AE373" s="22"/>
      <c r="AF373" s="22"/>
      <c r="AG373" s="22"/>
      <c r="AH373" s="52"/>
      <c r="AI373" s="52"/>
      <c r="AJ373" s="22"/>
      <c r="AK373" s="52"/>
      <c r="AL373" s="22"/>
      <c r="AM373" s="52"/>
      <c r="AN373" s="22"/>
      <c r="AO373" s="22"/>
      <c r="AP373" s="22"/>
      <c r="AQ373" s="22"/>
      <c r="AR373" s="22"/>
      <c r="AS373" s="22"/>
      <c r="AT373" s="22"/>
      <c r="AU373" s="22"/>
      <c r="AV373" s="77"/>
      <c r="AW373" s="77"/>
      <c r="AX373" s="78"/>
      <c r="AY373" s="22"/>
      <c r="AZ373" s="22"/>
      <c r="BA373" s="22"/>
      <c r="BB373" s="22"/>
      <c r="BC373" s="22"/>
      <c r="BD373" s="22"/>
      <c r="BE373" s="22"/>
      <c r="BF373" s="22"/>
      <c r="BG373" s="22"/>
      <c r="BH373" s="22"/>
      <c r="BI373" s="22"/>
      <c r="BJ373" s="40"/>
      <c r="BK373" s="19"/>
      <c r="BL373" s="19"/>
      <c r="BM373" s="19"/>
      <c r="BN373" s="19"/>
      <c r="BO373" s="19"/>
      <c r="BP373" s="19"/>
      <c r="BQ373" s="19"/>
      <c r="BR373" s="19"/>
      <c r="BS373" s="19"/>
      <c r="BT373" s="19"/>
      <c r="BU373" s="19"/>
      <c r="BV373" s="19"/>
      <c r="BW373" s="19"/>
      <c r="BX373" s="19"/>
      <c r="BY373" s="19"/>
      <c r="BZ373" s="19"/>
      <c r="CA373" s="19"/>
      <c r="CB373" s="19"/>
      <c r="CC373" s="19"/>
      <c r="CD373" s="19"/>
      <c r="CE373" s="48"/>
      <c r="CF373" s="48"/>
      <c r="CG373" s="48"/>
      <c r="CH373" s="48"/>
      <c r="CI373" s="48"/>
      <c r="CJ373" s="48"/>
      <c r="CK373" s="48"/>
      <c r="CL373" s="48"/>
      <c r="CM373" s="48"/>
      <c r="CN373" s="48"/>
      <c r="CO373" s="48"/>
      <c r="CP373" s="48"/>
      <c r="CQ373" s="48"/>
      <c r="CR373" s="48"/>
      <c r="CS373" s="48"/>
      <c r="CT373" s="48"/>
      <c r="CU373" s="48"/>
      <c r="CV373" s="48"/>
      <c r="CW373" s="19"/>
      <c r="CX373" s="19"/>
      <c r="CY373" s="19"/>
      <c r="CZ373" s="19"/>
      <c r="DA373" s="21"/>
      <c r="DB373" s="21"/>
      <c r="DC373" s="79"/>
      <c r="DD373" s="79"/>
      <c r="DE373" s="79"/>
      <c r="DF373" s="79"/>
      <c r="DG373" s="79"/>
      <c r="DH373" s="51"/>
      <c r="DI373" s="39"/>
      <c r="DJ373" s="80"/>
      <c r="DK373" s="39"/>
      <c r="DL373" s="39"/>
      <c r="DM373" s="48"/>
      <c r="DN373" s="39"/>
      <c r="DO373" s="39"/>
      <c r="DP373" s="39"/>
      <c r="DQ373" s="39"/>
      <c r="DR373" s="39"/>
      <c r="DS373" s="39"/>
      <c r="DT373" s="39"/>
      <c r="DU373" s="19"/>
      <c r="DV373" s="40"/>
      <c r="DW373" s="40"/>
      <c r="DX373" s="46"/>
      <c r="DY373" s="21"/>
      <c r="DZ373" s="19"/>
      <c r="EA373" s="19"/>
      <c r="EB373" s="19"/>
      <c r="EC373" s="48"/>
      <c r="ED373" s="48"/>
      <c r="EE373" s="22"/>
      <c r="EF373" s="22"/>
      <c r="EG373" s="22"/>
      <c r="EH373" s="22"/>
      <c r="EI373" s="22"/>
      <c r="EJ373" s="22"/>
      <c r="EK373" s="40"/>
      <c r="EL373" s="19"/>
      <c r="EM373" s="19"/>
      <c r="EN373" s="40"/>
      <c r="EO373" s="40"/>
      <c r="EP373" s="40"/>
      <c r="EQ373" s="21"/>
      <c r="ER373" s="21"/>
      <c r="ES373" s="21"/>
      <c r="ET373" s="21"/>
      <c r="EU373" s="19"/>
      <c r="EV373" s="21"/>
      <c r="EW373" s="39"/>
      <c r="EX373" s="39"/>
      <c r="EY373" s="39"/>
      <c r="EZ373" s="39"/>
      <c r="FA373" s="39"/>
      <c r="FB373" s="39"/>
      <c r="FC373" s="39"/>
      <c r="FD373" s="39"/>
      <c r="FE373" s="39"/>
      <c r="FF373" s="39"/>
      <c r="FG373" s="39"/>
      <c r="FH373" s="39"/>
      <c r="FI373" s="39"/>
      <c r="FJ373" s="19"/>
      <c r="FK373" s="19"/>
      <c r="FL373" s="19"/>
      <c r="FM373" s="19"/>
      <c r="FN373" s="19"/>
      <c r="FO373" s="22"/>
      <c r="FP373" s="52"/>
      <c r="FQ373" s="22"/>
      <c r="FR373" s="22"/>
      <c r="FS373" s="22"/>
      <c r="FT373" s="22"/>
      <c r="FU373" s="40"/>
      <c r="FV373" s="19"/>
      <c r="FW373" s="19"/>
      <c r="FX373" s="19"/>
      <c r="FY373" s="19"/>
      <c r="FZ373" s="19"/>
      <c r="GA373" s="19"/>
      <c r="GB373" s="19"/>
      <c r="GC373" s="20"/>
      <c r="GD373" s="20"/>
      <c r="GE373" s="21"/>
      <c r="GF373" s="21"/>
      <c r="GG373" s="21"/>
      <c r="GH373" s="21"/>
      <c r="GI373" s="21"/>
      <c r="GJ373" s="21"/>
      <c r="GK373" s="21"/>
      <c r="GL373" s="21"/>
      <c r="GM373" s="19"/>
      <c r="GN373" s="19"/>
      <c r="GO373" s="22"/>
      <c r="GP373" s="22"/>
      <c r="GQ373" s="22"/>
      <c r="GR373" s="22"/>
      <c r="GS373" s="22"/>
      <c r="GT373" s="22"/>
      <c r="GU373" s="43"/>
      <c r="GV373" s="19"/>
      <c r="GW373" s="19"/>
      <c r="GX373" s="19"/>
      <c r="GY373" s="19"/>
      <c r="GZ373" s="23"/>
      <c r="HA373" s="22"/>
      <c r="HB373" s="22"/>
      <c r="HC373" s="22"/>
      <c r="HD373" s="22"/>
      <c r="HE373" s="22"/>
      <c r="HF373" s="22"/>
      <c r="HG373" s="233"/>
    </row>
    <row r="374" spans="2:215" ht="16.149999999999999" customHeight="1" thickBot="1">
      <c r="B374" s="15"/>
      <c r="C374" s="161" t="s">
        <v>638</v>
      </c>
      <c r="D374" s="82"/>
      <c r="E374" s="82"/>
      <c r="F374" s="74"/>
      <c r="G374" s="74"/>
      <c r="H374" s="74"/>
      <c r="I374" s="82"/>
      <c r="J374" s="82"/>
      <c r="K374" s="82"/>
      <c r="L374" s="82"/>
      <c r="M374" s="82"/>
      <c r="N374" s="82"/>
      <c r="O374" s="76"/>
      <c r="P374" s="76"/>
      <c r="Q374" s="76"/>
      <c r="R374" s="82"/>
      <c r="S374" s="82"/>
      <c r="T374" s="82"/>
      <c r="U374" s="82"/>
      <c r="V374" s="52"/>
      <c r="W374" s="52"/>
      <c r="X374" s="52"/>
      <c r="Y374" s="52"/>
      <c r="Z374" s="22"/>
      <c r="AA374" s="52"/>
      <c r="AB374" s="22"/>
      <c r="AC374" s="22"/>
      <c r="AD374" s="22"/>
      <c r="AE374" s="22"/>
      <c r="AF374" s="22"/>
      <c r="AG374" s="22"/>
      <c r="AH374" s="22"/>
      <c r="AI374" s="22"/>
      <c r="AJ374" s="52"/>
      <c r="AK374" s="22"/>
      <c r="AL374" s="22"/>
      <c r="AM374" s="22"/>
      <c r="AN374" s="22"/>
      <c r="AO374" s="22"/>
      <c r="AP374" s="22"/>
      <c r="AQ374" s="22"/>
      <c r="AR374" s="22"/>
      <c r="AS374" s="22"/>
      <c r="AT374" s="22"/>
      <c r="AU374" s="22"/>
      <c r="AV374" s="77"/>
      <c r="AW374" s="77"/>
      <c r="AX374" s="78"/>
      <c r="AY374" s="22"/>
      <c r="AZ374" s="22"/>
      <c r="BA374" s="22"/>
      <c r="BB374" s="22"/>
      <c r="BC374" s="22"/>
      <c r="BD374" s="22"/>
      <c r="BE374" s="22"/>
      <c r="BF374" s="22"/>
      <c r="BG374" s="22"/>
      <c r="BH374" s="22"/>
      <c r="BI374" s="22"/>
      <c r="BJ374" s="40"/>
      <c r="BK374" s="19"/>
      <c r="BL374" s="19"/>
      <c r="BM374" s="19"/>
      <c r="BN374" s="19"/>
      <c r="BO374" s="19"/>
      <c r="BP374" s="19"/>
      <c r="BQ374" s="19"/>
      <c r="BR374" s="19"/>
      <c r="BS374" s="19"/>
      <c r="BT374" s="19"/>
      <c r="BU374" s="19"/>
      <c r="BV374" s="19"/>
      <c r="BW374" s="19"/>
      <c r="BX374" s="19"/>
      <c r="BY374" s="19"/>
      <c r="BZ374" s="19"/>
      <c r="CA374" s="19"/>
      <c r="CB374" s="19"/>
      <c r="CC374" s="19"/>
      <c r="CD374" s="19"/>
      <c r="CE374" s="48"/>
      <c r="CF374" s="48"/>
      <c r="CG374" s="48"/>
      <c r="CH374" s="48"/>
      <c r="CI374" s="48"/>
      <c r="CJ374" s="48"/>
      <c r="CK374" s="48"/>
      <c r="CL374" s="48"/>
      <c r="CM374" s="48"/>
      <c r="CN374" s="48"/>
      <c r="CO374" s="48"/>
      <c r="CP374" s="48"/>
      <c r="CQ374" s="48"/>
      <c r="CR374" s="48"/>
      <c r="CS374" s="48"/>
      <c r="CT374" s="48"/>
      <c r="CU374" s="48"/>
      <c r="CV374" s="48"/>
      <c r="CW374" s="19"/>
      <c r="CX374" s="19"/>
      <c r="CY374" s="19"/>
      <c r="CZ374" s="19"/>
      <c r="DA374" s="21"/>
      <c r="DB374" s="21"/>
      <c r="DC374" s="79"/>
      <c r="DD374" s="79"/>
      <c r="DE374" s="79"/>
      <c r="DF374" s="79"/>
      <c r="DG374" s="79"/>
      <c r="DH374" s="51"/>
      <c r="DI374" s="39"/>
      <c r="DJ374" s="80"/>
      <c r="DK374" s="39"/>
      <c r="DL374" s="39"/>
      <c r="DM374" s="48"/>
      <c r="DN374" s="39"/>
      <c r="DO374" s="39"/>
      <c r="DP374" s="39"/>
      <c r="DQ374" s="39"/>
      <c r="DR374" s="39"/>
      <c r="DS374" s="39"/>
      <c r="DT374" s="39"/>
      <c r="DU374" s="19"/>
      <c r="DV374" s="40"/>
      <c r="DW374" s="40"/>
      <c r="DX374" s="21"/>
      <c r="DY374" s="21"/>
      <c r="DZ374" s="19"/>
      <c r="EA374" s="19"/>
      <c r="EB374" s="19"/>
      <c r="EC374" s="48"/>
      <c r="ED374" s="48"/>
      <c r="EE374" s="22"/>
      <c r="EF374" s="22"/>
      <c r="EG374" s="22"/>
      <c r="EH374" s="22"/>
      <c r="EI374" s="22"/>
      <c r="EJ374" s="22"/>
      <c r="EK374" s="83"/>
      <c r="EL374" s="19"/>
      <c r="EM374" s="19"/>
      <c r="EN374" s="146"/>
      <c r="EO374" s="146"/>
      <c r="EP374" s="146"/>
      <c r="EQ374" s="21"/>
      <c r="ER374" s="21"/>
      <c r="ES374" s="19"/>
      <c r="ET374" s="19"/>
      <c r="EU374" s="19"/>
      <c r="EV374" s="21"/>
      <c r="EW374" s="39"/>
      <c r="EX374" s="39"/>
      <c r="EY374" s="39"/>
      <c r="EZ374" s="39"/>
      <c r="FA374" s="39"/>
      <c r="FB374" s="39"/>
      <c r="FC374" s="39"/>
      <c r="FD374" s="39"/>
      <c r="FE374" s="39"/>
      <c r="FF374" s="39"/>
      <c r="FG374" s="39"/>
      <c r="FH374" s="39"/>
      <c r="FI374" s="39"/>
      <c r="FJ374" s="19"/>
      <c r="FK374" s="19"/>
      <c r="FL374" s="19"/>
      <c r="FM374" s="19"/>
      <c r="FN374" s="19"/>
      <c r="FO374" s="22">
        <v>266.52999999999997</v>
      </c>
      <c r="FP374" s="22">
        <v>273.74</v>
      </c>
      <c r="FQ374" s="22"/>
      <c r="FR374" s="22">
        <v>266.52999999999997</v>
      </c>
      <c r="FS374" s="22">
        <v>273.74</v>
      </c>
      <c r="FT374" s="22"/>
      <c r="FU374" s="83" t="s">
        <v>627</v>
      </c>
      <c r="FV374" s="19"/>
      <c r="FW374" s="19"/>
      <c r="FX374" s="19"/>
      <c r="FY374" s="19"/>
      <c r="FZ374" s="19"/>
      <c r="GA374" s="19"/>
      <c r="GB374" s="19"/>
      <c r="GC374" s="20"/>
      <c r="GD374" s="20"/>
      <c r="GE374" s="19"/>
      <c r="GF374" s="21"/>
      <c r="GG374" s="19"/>
      <c r="GH374" s="19"/>
      <c r="GI374" s="19"/>
      <c r="GJ374" s="21"/>
      <c r="GK374" s="19"/>
      <c r="GL374" s="19"/>
      <c r="GM374" s="19"/>
      <c r="GN374" s="19"/>
      <c r="GO374" s="57">
        <v>273.74</v>
      </c>
      <c r="GP374" s="57">
        <v>539.78</v>
      </c>
      <c r="GQ374" s="57"/>
      <c r="GR374" s="57">
        <v>273.74</v>
      </c>
      <c r="GS374" s="57">
        <v>539.78</v>
      </c>
      <c r="GT374" s="57"/>
      <c r="GU374" s="83" t="s">
        <v>627</v>
      </c>
      <c r="GV374" s="19"/>
      <c r="GW374" s="19"/>
      <c r="GX374" s="19"/>
      <c r="GY374" s="19"/>
      <c r="GZ374" s="19"/>
      <c r="HA374" s="22">
        <v>539.78</v>
      </c>
      <c r="HB374" s="22">
        <v>539.12</v>
      </c>
      <c r="HC374" s="22"/>
      <c r="HD374" s="22">
        <v>539.78</v>
      </c>
      <c r="HE374" s="22">
        <v>539.12</v>
      </c>
      <c r="HF374" s="22"/>
      <c r="HG374" s="235" t="s">
        <v>627</v>
      </c>
    </row>
    <row r="375" spans="2:215" ht="16.5" thickBot="1">
      <c r="B375" s="7" t="s">
        <v>495</v>
      </c>
      <c r="C375" s="80" t="s">
        <v>496</v>
      </c>
      <c r="D375" s="80"/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0">
        <f t="shared" si="1405"/>
        <v>0</v>
      </c>
      <c r="Y375" s="80"/>
      <c r="Z375" s="80">
        <f t="shared" si="1331"/>
        <v>0</v>
      </c>
      <c r="AA375" s="80"/>
      <c r="AB375" s="80">
        <f t="shared" si="1332"/>
        <v>0</v>
      </c>
      <c r="AC375" s="80"/>
      <c r="AD375" s="80"/>
      <c r="AE375" s="80">
        <f t="shared" ref="AE375:AE403" si="1460">+IF(AC375=0,,AF375/AC375*100)</f>
        <v>0</v>
      </c>
      <c r="AF375" s="80"/>
      <c r="AG375" s="80">
        <f>+IF(AC375=0,,AF375/AC375*100)</f>
        <v>0</v>
      </c>
      <c r="AH375" s="80"/>
      <c r="AI375" s="80"/>
      <c r="AJ375" s="80">
        <f t="shared" si="1334"/>
        <v>0</v>
      </c>
      <c r="AK375" s="80"/>
      <c r="AL375" s="80">
        <f t="shared" si="1335"/>
        <v>0</v>
      </c>
      <c r="AM375" s="80"/>
      <c r="AN375" s="80">
        <f t="shared" si="1336"/>
        <v>0</v>
      </c>
      <c r="AO375" s="80">
        <f t="shared" si="1406"/>
        <v>0</v>
      </c>
      <c r="AP375" s="80">
        <f t="shared" si="1338"/>
        <v>0</v>
      </c>
      <c r="AQ375" s="80"/>
      <c r="AR375" s="80"/>
      <c r="AS375" s="80">
        <f t="shared" ref="AS375:AS403" si="1461">+IF(AQ375=0,,AT375/AQ375*100)</f>
        <v>0</v>
      </c>
      <c r="AT375" s="80"/>
      <c r="AU375" s="80">
        <f>+IF(AQ375=0,,AT375/AQ375*100)</f>
        <v>0</v>
      </c>
      <c r="AV375" s="77"/>
      <c r="AW375" s="77">
        <f>+CY375/$CY$375*100</f>
        <v>100</v>
      </c>
      <c r="AX375" s="78"/>
      <c r="AY375" s="80">
        <f t="shared" ref="AY375:AY403" si="1462">+AZ375+BA375+BB375</f>
        <v>0</v>
      </c>
      <c r="AZ375" s="80"/>
      <c r="BA375" s="80"/>
      <c r="BB375" s="80"/>
      <c r="BC375" s="80"/>
      <c r="BD375" s="80"/>
      <c r="BE375" s="22">
        <f t="shared" ref="BE375:BE403" si="1463">+IF(BC375=0,,BD375/BC375*100)</f>
        <v>0</v>
      </c>
      <c r="BF375" s="80"/>
      <c r="BG375" s="80"/>
      <c r="BH375" s="22">
        <f t="shared" ref="BH375:BH403" si="1464">+IF(BF375=0,,BG375/BF375*100)</f>
        <v>0</v>
      </c>
      <c r="BI375" s="22"/>
      <c r="BJ375" s="40"/>
      <c r="BK375" s="80">
        <f t="shared" ref="BK375:BK403" si="1465">+BL375+BM375+BN375</f>
        <v>0</v>
      </c>
      <c r="BL375" s="80">
        <f t="shared" si="1343"/>
        <v>0</v>
      </c>
      <c r="BM375" s="80">
        <f t="shared" si="1344"/>
        <v>0</v>
      </c>
      <c r="BN375" s="80">
        <f t="shared" si="1345"/>
        <v>0</v>
      </c>
      <c r="BO375" s="80">
        <f t="shared" ref="BO375:BO403" si="1466">+BP375+BQ375+BR375</f>
        <v>0</v>
      </c>
      <c r="BP375" s="80">
        <f t="shared" si="1346"/>
        <v>0</v>
      </c>
      <c r="BQ375" s="80">
        <f t="shared" si="1347"/>
        <v>0</v>
      </c>
      <c r="BR375" s="80">
        <f t="shared" si="1348"/>
        <v>0</v>
      </c>
      <c r="BS375" s="80">
        <f t="shared" ref="BS375:BS403" si="1467">+BT375+BV375+BU375</f>
        <v>0</v>
      </c>
      <c r="BT375" s="80">
        <f t="shared" si="1349"/>
        <v>0</v>
      </c>
      <c r="BU375" s="80">
        <f t="shared" si="1350"/>
        <v>0</v>
      </c>
      <c r="BV375" s="80">
        <f t="shared" si="1351"/>
        <v>0</v>
      </c>
      <c r="BW375" s="80"/>
      <c r="BX375" s="48">
        <f>+SUM(BX376:BX410)</f>
        <v>479345.7449152543</v>
      </c>
      <c r="BY375" s="80">
        <f>+(AC375-ROUND(AQ375/1.18,2))*N375/1000</f>
        <v>0</v>
      </c>
      <c r="BZ375" s="80">
        <f>+AC375*R375/1000</f>
        <v>0</v>
      </c>
      <c r="CA375" s="80"/>
      <c r="CB375" s="48">
        <f>+SUM(CB376:CB410)</f>
        <v>530399.92881355935</v>
      </c>
      <c r="CC375" s="48">
        <f>+SUM(CC376:CC410)</f>
        <v>0</v>
      </c>
      <c r="CD375" s="80">
        <f t="shared" ref="CD375" si="1468">+AF375*R375/1000</f>
        <v>0</v>
      </c>
      <c r="CE375" s="80">
        <f t="shared" ref="CE375" si="1469">+IF(R375=0,,BN375/R375*1000)</f>
        <v>0</v>
      </c>
      <c r="CF375" s="80">
        <f t="shared" ref="CF375" si="1470">+IF(I375=0,,BR375/I375*1000)</f>
        <v>0</v>
      </c>
      <c r="CG375" s="80">
        <f t="shared" ref="CG375" si="1471">+IF(I375=0,,BV375/I375*1000)</f>
        <v>0</v>
      </c>
      <c r="CH375" s="80">
        <f t="shared" ref="CH375" si="1472">+IF(E375=0,,BL375/E375*1000*1.18)</f>
        <v>0</v>
      </c>
      <c r="CI375" s="80">
        <f t="shared" ref="CI375" si="1473">+IF(E375=0,,BP375/E375*1.18*1000)</f>
        <v>0</v>
      </c>
      <c r="CJ375" s="80">
        <f t="shared" ref="CJ375" si="1474">+IF(E375=0,,BT375/E375*1.18*1000)</f>
        <v>0</v>
      </c>
      <c r="CK375" s="80">
        <f t="shared" ref="CK375" si="1475">+IF(D375=0,,BK375/D375*1000)</f>
        <v>0</v>
      </c>
      <c r="CL375" s="80">
        <f t="shared" ref="CL375" si="1476">+IF(D375=0,,BO375/D375*1000)</f>
        <v>0</v>
      </c>
      <c r="CM375" s="80">
        <f t="shared" ref="CM375" si="1477">+IF(D375=0,,BS375/D375*1000)</f>
        <v>0</v>
      </c>
      <c r="CN375" s="80">
        <f t="shared" ref="CN375" si="1478">+IF((D375+D375+D375)=0,,(BK375+BO375+BS375)/(D375+D375+D375))*1000</f>
        <v>0</v>
      </c>
      <c r="CO375" s="80">
        <f t="shared" ref="CO375" si="1479">+IF(R375=0,,BZ375/R375*1000)</f>
        <v>0</v>
      </c>
      <c r="CP375" s="80">
        <f t="shared" ref="CP375" si="1480">+IF(R375=0,,CD375/R375*1000)</f>
        <v>0</v>
      </c>
      <c r="CQ375" s="80">
        <f t="shared" ref="CQ375" si="1481">+IF(N375=0,,BX375/N375*1.18*1000)</f>
        <v>0</v>
      </c>
      <c r="CR375" s="80">
        <f t="shared" ref="CR375" si="1482">+IF(N375=0,,CB375/N375*1.18*1000)</f>
        <v>0</v>
      </c>
      <c r="CS375" s="80">
        <f t="shared" ref="CS375" si="1483">+IF(M375=0,,BW375/M375*1000)</f>
        <v>0</v>
      </c>
      <c r="CT375" s="80">
        <f t="shared" si="1423"/>
        <v>0</v>
      </c>
      <c r="CU375" s="80">
        <f t="shared" ref="CU375" si="1484">+IF((M375+M375)=0,,(CA375+BW375)/(M375+M375))*1000</f>
        <v>0</v>
      </c>
      <c r="CV375" s="80">
        <f t="shared" si="1424"/>
        <v>0</v>
      </c>
      <c r="CW375" s="48" t="e">
        <f>+SUM(CW376:CW410)</f>
        <v>#REF!</v>
      </c>
      <c r="CX375" s="48" t="e">
        <f>+SUM(CX376:CX410)</f>
        <v>#REF!</v>
      </c>
      <c r="CY375" s="48">
        <f>+SUM(CY376:CY410)</f>
        <v>504872.83686440683</v>
      </c>
      <c r="CZ375" s="48">
        <f>+SUM(CZ376:CZ410)</f>
        <v>504790.962</v>
      </c>
      <c r="DA375" s="20" t="e">
        <f t="shared" si="1398"/>
        <v>#REF!</v>
      </c>
      <c r="DB375" s="20">
        <f t="shared" si="1399"/>
        <v>100.01621955830635</v>
      </c>
      <c r="DC375" s="20" t="e">
        <f t="shared" si="1425"/>
        <v>#REF!</v>
      </c>
      <c r="DD375" s="20" t="e">
        <f t="shared" si="1425"/>
        <v>#REF!</v>
      </c>
      <c r="DE375" s="79">
        <f t="shared" ref="DE375:DF375" si="1485">+(O375+S375)*AC375/1000</f>
        <v>0</v>
      </c>
      <c r="DF375" s="79">
        <f t="shared" si="1485"/>
        <v>0</v>
      </c>
      <c r="DG375" s="79">
        <f t="shared" ref="DG375" si="1486">+AF375*(Q375+U375)/1000</f>
        <v>0</v>
      </c>
      <c r="DH375" s="51">
        <f t="shared" si="1402"/>
        <v>0</v>
      </c>
      <c r="DI375" s="39"/>
      <c r="DJ375" s="80">
        <f t="shared" ref="DJ375" si="1487">+(F375+J375)*W375/1000</f>
        <v>0</v>
      </c>
      <c r="DK375" s="39">
        <f t="shared" ref="DK375" si="1488">+Y375*(G375+K375)/1000</f>
        <v>0</v>
      </c>
      <c r="DL375" s="39">
        <f t="shared" ref="DL375" si="1489">+(H375+L375)*AA375/1000</f>
        <v>0</v>
      </c>
      <c r="DM375" s="48">
        <f>+AT375-'[2]тарифы (12-13) население 15%'!AP477</f>
        <v>0</v>
      </c>
      <c r="DN375" s="39"/>
      <c r="DO375" s="39"/>
      <c r="DP375" s="39"/>
      <c r="DQ375" s="39"/>
      <c r="DR375" s="39"/>
      <c r="DS375" s="39"/>
      <c r="DT375" s="39"/>
      <c r="DU375" s="19">
        <f t="shared" ref="DU375:DU403" si="1490">+(BF375*AZ375)/1.18</f>
        <v>0</v>
      </c>
      <c r="DV375" s="42">
        <f>+SUM(DV376:DV410)</f>
        <v>535892.16864406783</v>
      </c>
      <c r="DW375" s="42">
        <f>+SUM(DW376:DW410)</f>
        <v>535763.70499999996</v>
      </c>
      <c r="DX375" s="42">
        <f>+'[1]тарифы (НВВ) население на 4,2%'!CO496</f>
        <v>99.991636484155364</v>
      </c>
      <c r="DY375" s="42">
        <f t="shared" ref="DY375:DY419" si="1491">+IF(DW375=0,,DV375/DW375*100)</f>
        <v>100.02397766830209</v>
      </c>
      <c r="DZ375" s="19">
        <f t="shared" ref="DZ375:DZ403" si="1492">+BC375*AY375/1000</f>
        <v>0</v>
      </c>
      <c r="EA375" s="19">
        <f t="shared" ref="EA375:EA411" si="1493">+BD375*AY375/1000</f>
        <v>0</v>
      </c>
      <c r="EB375" s="19"/>
      <c r="EC375" s="22">
        <f>+SUM(EC376:EC410)</f>
        <v>0</v>
      </c>
      <c r="ED375" s="22">
        <f>+SUM(ED376:ED410)</f>
        <v>0</v>
      </c>
      <c r="EE375" s="80"/>
      <c r="EF375" s="80"/>
      <c r="EG375" s="22">
        <f t="shared" ref="EG375:EG418" si="1494">+IF(EE375=0,,EF375/EE375*100)</f>
        <v>0</v>
      </c>
      <c r="EH375" s="80"/>
      <c r="EI375" s="80"/>
      <c r="EJ375" s="22">
        <f t="shared" ref="EJ375:EJ418" si="1495">+IF(EH375=0,,EI375/EH375*100)</f>
        <v>0</v>
      </c>
      <c r="EK375" s="40"/>
      <c r="EL375" s="40"/>
      <c r="EM375" s="40"/>
      <c r="EN375" s="146">
        <f>+SUM(EN376:EN410)</f>
        <v>543051.23618644068</v>
      </c>
      <c r="EO375" s="146">
        <f>+SUM(EO376:EO410)</f>
        <v>543149.58071999997</v>
      </c>
      <c r="EP375" s="146" t="e">
        <f>+$EN$442/$EN$445*EN375</f>
        <v>#REF!</v>
      </c>
      <c r="EQ375" s="42">
        <f t="shared" ref="EQ375:EQ403" si="1496">+IF(EO375=0,,EN375/EO375*100)</f>
        <v>99.981893655624503</v>
      </c>
      <c r="ER375" s="42" t="e">
        <f>+IF((EN375+EP375)=0,,(EN375+EP375)/(EO375+EP375))*100</f>
        <v>#REF!</v>
      </c>
      <c r="ES375" s="42"/>
      <c r="ET375" s="42"/>
      <c r="EU375" s="19">
        <f t="shared" si="1429"/>
        <v>0</v>
      </c>
      <c r="EV375" s="42"/>
      <c r="EW375" s="39"/>
      <c r="EX375" s="39">
        <f t="shared" ref="EX375:EX397" si="1497">+BD375*AY375</f>
        <v>0</v>
      </c>
      <c r="EY375" s="39">
        <f t="shared" si="1367"/>
        <v>0</v>
      </c>
      <c r="EZ375" s="39"/>
      <c r="FA375" s="39"/>
      <c r="FB375" s="39"/>
      <c r="FC375" s="39"/>
      <c r="FD375" s="39"/>
      <c r="FE375" s="39"/>
      <c r="FF375" s="39"/>
      <c r="FG375" s="39"/>
      <c r="FH375" s="39"/>
      <c r="FI375" s="39"/>
      <c r="FJ375" s="41">
        <f>+SUM(FJ376:FJ410)</f>
        <v>0</v>
      </c>
      <c r="FK375" s="41">
        <f>+SUM(FK376:FK410)</f>
        <v>0</v>
      </c>
      <c r="FL375" s="174">
        <f>+SUM(FL376:FL410)</f>
        <v>0</v>
      </c>
      <c r="FM375" s="40"/>
      <c r="FN375" s="40"/>
      <c r="FO375" s="80">
        <f t="shared" si="1431"/>
        <v>0</v>
      </c>
      <c r="FP375" s="80"/>
      <c r="FQ375" s="22"/>
      <c r="FR375" s="80">
        <f t="shared" si="1432"/>
        <v>0</v>
      </c>
      <c r="FS375" s="80"/>
      <c r="FT375" s="22"/>
      <c r="FU375" s="40"/>
      <c r="FV375" s="41">
        <f t="shared" ref="FV375:GB375" si="1498">+SUM(FV376:FV410)</f>
        <v>0</v>
      </c>
      <c r="FW375" s="41">
        <f t="shared" si="1498"/>
        <v>0</v>
      </c>
      <c r="FX375" s="41">
        <f t="shared" si="1498"/>
        <v>0</v>
      </c>
      <c r="FY375" s="41">
        <f t="shared" si="1498"/>
        <v>0</v>
      </c>
      <c r="FZ375" s="41">
        <f t="shared" si="1498"/>
        <v>0</v>
      </c>
      <c r="GA375" s="41">
        <f t="shared" si="1498"/>
        <v>0</v>
      </c>
      <c r="GB375" s="41">
        <f t="shared" si="1498"/>
        <v>0</v>
      </c>
      <c r="GC375" s="20">
        <f t="shared" si="1434"/>
        <v>0</v>
      </c>
      <c r="GD375" s="20">
        <f t="shared" si="1373"/>
        <v>0</v>
      </c>
      <c r="GE375" s="42"/>
      <c r="GF375" s="42"/>
      <c r="GG375" s="42"/>
      <c r="GH375" s="42"/>
      <c r="GI375" s="42"/>
      <c r="GJ375" s="42"/>
      <c r="GK375" s="42"/>
      <c r="GL375" s="42"/>
      <c r="GM375" s="40"/>
      <c r="GN375" s="40"/>
      <c r="GO375" s="80"/>
      <c r="GP375" s="80"/>
      <c r="GQ375" s="22"/>
      <c r="GR375" s="80"/>
      <c r="GS375" s="80"/>
      <c r="GT375" s="22"/>
      <c r="GU375" s="43"/>
      <c r="GV375" s="41"/>
      <c r="GW375" s="41"/>
      <c r="GX375" s="41">
        <f>+SUM(GX376:GX411)</f>
        <v>0</v>
      </c>
      <c r="GY375" s="41">
        <f>+SUM(GY376:GY411)</f>
        <v>0</v>
      </c>
      <c r="GZ375" s="44">
        <f>+IF(GY375=0,,GX375/GY375*100)</f>
        <v>0</v>
      </c>
      <c r="HA375" s="80"/>
      <c r="HB375" s="80"/>
      <c r="HC375" s="22"/>
      <c r="HD375" s="80"/>
      <c r="HE375" s="80"/>
      <c r="HF375" s="22"/>
      <c r="HG375" s="233"/>
    </row>
    <row r="376" spans="2:215" ht="15.75">
      <c r="B376" s="10"/>
      <c r="C376" s="174" t="s">
        <v>616</v>
      </c>
      <c r="D376" s="73"/>
      <c r="E376" s="73"/>
      <c r="F376" s="74"/>
      <c r="G376" s="74"/>
      <c r="H376" s="74"/>
      <c r="I376" s="73"/>
      <c r="J376" s="74"/>
      <c r="K376" s="74"/>
      <c r="L376" s="74"/>
      <c r="M376" s="73"/>
      <c r="N376" s="73"/>
      <c r="O376" s="74"/>
      <c r="P376" s="74"/>
      <c r="Q376" s="74"/>
      <c r="R376" s="73"/>
      <c r="S376" s="74"/>
      <c r="T376" s="74"/>
      <c r="U376" s="74"/>
      <c r="V376" s="52"/>
      <c r="W376" s="52"/>
      <c r="X376" s="52"/>
      <c r="Y376" s="52"/>
      <c r="Z376" s="22"/>
      <c r="AA376" s="52"/>
      <c r="AB376" s="22"/>
      <c r="AC376" s="52"/>
      <c r="AD376" s="52"/>
      <c r="AE376" s="22"/>
      <c r="AF376" s="22"/>
      <c r="AG376" s="22"/>
      <c r="AH376" s="22"/>
      <c r="AI376" s="22"/>
      <c r="AJ376" s="52"/>
      <c r="AK376" s="22"/>
      <c r="AL376" s="22"/>
      <c r="AM376" s="22"/>
      <c r="AN376" s="22"/>
      <c r="AO376" s="22"/>
      <c r="AP376" s="22"/>
      <c r="AQ376" s="22"/>
      <c r="AR376" s="22"/>
      <c r="AS376" s="22"/>
      <c r="AT376" s="22"/>
      <c r="AU376" s="22"/>
      <c r="AV376" s="77"/>
      <c r="AW376" s="77"/>
      <c r="AX376" s="78"/>
      <c r="AY376" s="22"/>
      <c r="AZ376" s="22"/>
      <c r="BA376" s="22"/>
      <c r="BB376" s="22"/>
      <c r="BC376" s="22"/>
      <c r="BD376" s="22"/>
      <c r="BE376" s="22"/>
      <c r="BF376" s="22"/>
      <c r="BG376" s="22"/>
      <c r="BH376" s="22"/>
      <c r="BI376" s="22"/>
      <c r="BJ376" s="40"/>
      <c r="BK376" s="19"/>
      <c r="BL376" s="19"/>
      <c r="BM376" s="19"/>
      <c r="BN376" s="19"/>
      <c r="BO376" s="19"/>
      <c r="BP376" s="19"/>
      <c r="BQ376" s="19"/>
      <c r="BR376" s="19"/>
      <c r="BS376" s="19"/>
      <c r="BT376" s="19"/>
      <c r="BU376" s="19"/>
      <c r="BV376" s="19"/>
      <c r="BW376" s="19"/>
      <c r="BX376" s="19"/>
      <c r="BY376" s="19"/>
      <c r="BZ376" s="19"/>
      <c r="CA376" s="19"/>
      <c r="CB376" s="19"/>
      <c r="CC376" s="19"/>
      <c r="CD376" s="19"/>
      <c r="CE376" s="48"/>
      <c r="CF376" s="48"/>
      <c r="CG376" s="48"/>
      <c r="CH376" s="48"/>
      <c r="CI376" s="48"/>
      <c r="CJ376" s="48"/>
      <c r="CK376" s="48"/>
      <c r="CL376" s="48"/>
      <c r="CM376" s="48"/>
      <c r="CN376" s="48"/>
      <c r="CO376" s="48"/>
      <c r="CP376" s="48"/>
      <c r="CQ376" s="48"/>
      <c r="CR376" s="48"/>
      <c r="CS376" s="48"/>
      <c r="CT376" s="48"/>
      <c r="CU376" s="48"/>
      <c r="CV376" s="48"/>
      <c r="CW376" s="19"/>
      <c r="CX376" s="19"/>
      <c r="CY376" s="19"/>
      <c r="CZ376" s="19"/>
      <c r="DA376" s="21"/>
      <c r="DB376" s="21"/>
      <c r="DC376" s="79"/>
      <c r="DD376" s="79"/>
      <c r="DE376" s="79"/>
      <c r="DF376" s="79"/>
      <c r="DG376" s="79"/>
      <c r="DH376" s="51"/>
      <c r="DI376" s="39"/>
      <c r="DJ376" s="80"/>
      <c r="DK376" s="39"/>
      <c r="DL376" s="39"/>
      <c r="DM376" s="48"/>
      <c r="DN376" s="39"/>
      <c r="DO376" s="39"/>
      <c r="DP376" s="39"/>
      <c r="DQ376" s="39"/>
      <c r="DR376" s="39"/>
      <c r="DS376" s="39"/>
      <c r="DT376" s="39"/>
      <c r="DU376" s="19"/>
      <c r="DV376" s="40"/>
      <c r="DW376" s="40"/>
      <c r="DX376" s="46"/>
      <c r="DY376" s="21"/>
      <c r="DZ376" s="19"/>
      <c r="EA376" s="19"/>
      <c r="EB376" s="19"/>
      <c r="EC376" s="48"/>
      <c r="ED376" s="48"/>
      <c r="EE376" s="22"/>
      <c r="EF376" s="22"/>
      <c r="EG376" s="22"/>
      <c r="EH376" s="22"/>
      <c r="EI376" s="22"/>
      <c r="EJ376" s="22"/>
      <c r="EK376" s="40"/>
      <c r="EL376" s="19"/>
      <c r="EM376" s="19"/>
      <c r="EN376" s="146"/>
      <c r="EO376" s="146"/>
      <c r="EP376" s="146"/>
      <c r="EQ376" s="21"/>
      <c r="ER376" s="21"/>
      <c r="ES376" s="21"/>
      <c r="ET376" s="21"/>
      <c r="EU376" s="19"/>
      <c r="EV376" s="21"/>
      <c r="EW376" s="39"/>
      <c r="EX376" s="39"/>
      <c r="EY376" s="39"/>
      <c r="EZ376" s="39"/>
      <c r="FA376" s="39"/>
      <c r="FB376" s="39"/>
      <c r="FC376" s="39"/>
      <c r="FD376" s="39"/>
      <c r="FE376" s="39"/>
      <c r="FF376" s="39"/>
      <c r="FG376" s="39"/>
      <c r="FH376" s="39"/>
      <c r="FI376" s="39"/>
      <c r="FJ376" s="19"/>
      <c r="FK376" s="19"/>
      <c r="FL376" s="19"/>
      <c r="FM376" s="19"/>
      <c r="FN376" s="19"/>
      <c r="FO376" s="22"/>
      <c r="FP376" s="22"/>
      <c r="FQ376" s="22"/>
      <c r="FR376" s="22"/>
      <c r="FS376" s="22"/>
      <c r="FT376" s="22"/>
      <c r="FU376" s="40"/>
      <c r="FV376" s="19"/>
      <c r="FW376" s="19"/>
      <c r="FX376" s="19"/>
      <c r="FY376" s="19"/>
      <c r="FZ376" s="19"/>
      <c r="GA376" s="19"/>
      <c r="GB376" s="19"/>
      <c r="GC376" s="20"/>
      <c r="GD376" s="20"/>
      <c r="GE376" s="21"/>
      <c r="GF376" s="21"/>
      <c r="GG376" s="21"/>
      <c r="GH376" s="21"/>
      <c r="GI376" s="21"/>
      <c r="GJ376" s="21"/>
      <c r="GK376" s="21"/>
      <c r="GL376" s="21"/>
      <c r="GM376" s="19"/>
      <c r="GN376" s="19"/>
      <c r="GO376" s="22"/>
      <c r="GP376" s="22"/>
      <c r="GQ376" s="22"/>
      <c r="GR376" s="22"/>
      <c r="GS376" s="22"/>
      <c r="GT376" s="22"/>
      <c r="GU376" s="43"/>
      <c r="GV376" s="19"/>
      <c r="GW376" s="19"/>
      <c r="GX376" s="19"/>
      <c r="GY376" s="19"/>
      <c r="GZ376" s="23"/>
      <c r="HA376" s="22"/>
      <c r="HB376" s="22"/>
      <c r="HC376" s="22"/>
      <c r="HD376" s="22"/>
      <c r="HE376" s="22"/>
      <c r="HF376" s="22"/>
      <c r="HG376" s="233"/>
    </row>
    <row r="377" spans="2:215" ht="15.75">
      <c r="B377" s="10"/>
      <c r="C377" s="184" t="s">
        <v>204</v>
      </c>
      <c r="D377" s="73"/>
      <c r="E377" s="73"/>
      <c r="F377" s="74"/>
      <c r="G377" s="74"/>
      <c r="H377" s="74"/>
      <c r="I377" s="73"/>
      <c r="J377" s="74"/>
      <c r="K377" s="74"/>
      <c r="L377" s="74"/>
      <c r="M377" s="73"/>
      <c r="N377" s="73"/>
      <c r="O377" s="74"/>
      <c r="P377" s="74"/>
      <c r="Q377" s="74"/>
      <c r="R377" s="73"/>
      <c r="S377" s="74"/>
      <c r="T377" s="74"/>
      <c r="U377" s="74"/>
      <c r="V377" s="52"/>
      <c r="W377" s="52"/>
      <c r="X377" s="52"/>
      <c r="Y377" s="52"/>
      <c r="Z377" s="22"/>
      <c r="AA377" s="52"/>
      <c r="AB377" s="22"/>
      <c r="AC377" s="52"/>
      <c r="AD377" s="52"/>
      <c r="AE377" s="22"/>
      <c r="AF377" s="22"/>
      <c r="AG377" s="22"/>
      <c r="AH377" s="22"/>
      <c r="AI377" s="22"/>
      <c r="AJ377" s="52"/>
      <c r="AK377" s="22"/>
      <c r="AL377" s="22"/>
      <c r="AM377" s="22"/>
      <c r="AN377" s="22"/>
      <c r="AO377" s="22"/>
      <c r="AP377" s="22"/>
      <c r="AQ377" s="22"/>
      <c r="AR377" s="22"/>
      <c r="AS377" s="22"/>
      <c r="AT377" s="22"/>
      <c r="AU377" s="22"/>
      <c r="AV377" s="77"/>
      <c r="AW377" s="77"/>
      <c r="AX377" s="78"/>
      <c r="AY377" s="22"/>
      <c r="AZ377" s="22"/>
      <c r="BA377" s="22"/>
      <c r="BB377" s="22"/>
      <c r="BC377" s="22"/>
      <c r="BD377" s="22"/>
      <c r="BE377" s="22"/>
      <c r="BF377" s="22"/>
      <c r="BG377" s="22"/>
      <c r="BH377" s="22"/>
      <c r="BI377" s="22"/>
      <c r="BJ377" s="40"/>
      <c r="BK377" s="19"/>
      <c r="BL377" s="19"/>
      <c r="BM377" s="19"/>
      <c r="BN377" s="19"/>
      <c r="BO377" s="19"/>
      <c r="BP377" s="19"/>
      <c r="BQ377" s="19"/>
      <c r="BR377" s="19"/>
      <c r="BS377" s="19"/>
      <c r="BT377" s="19"/>
      <c r="BU377" s="19"/>
      <c r="BV377" s="19"/>
      <c r="BW377" s="19"/>
      <c r="BX377" s="19"/>
      <c r="BY377" s="19"/>
      <c r="BZ377" s="19"/>
      <c r="CA377" s="19"/>
      <c r="CB377" s="19"/>
      <c r="CC377" s="19"/>
      <c r="CD377" s="19"/>
      <c r="CE377" s="48"/>
      <c r="CF377" s="48"/>
      <c r="CG377" s="48"/>
      <c r="CH377" s="48"/>
      <c r="CI377" s="48"/>
      <c r="CJ377" s="48"/>
      <c r="CK377" s="48"/>
      <c r="CL377" s="48"/>
      <c r="CM377" s="48"/>
      <c r="CN377" s="48"/>
      <c r="CO377" s="48"/>
      <c r="CP377" s="48"/>
      <c r="CQ377" s="48"/>
      <c r="CR377" s="48"/>
      <c r="CS377" s="48"/>
      <c r="CT377" s="48"/>
      <c r="CU377" s="48"/>
      <c r="CV377" s="48"/>
      <c r="CW377" s="19"/>
      <c r="CX377" s="19"/>
      <c r="CY377" s="19"/>
      <c r="CZ377" s="19"/>
      <c r="DA377" s="21"/>
      <c r="DB377" s="21"/>
      <c r="DC377" s="79"/>
      <c r="DD377" s="79"/>
      <c r="DE377" s="79"/>
      <c r="DF377" s="79"/>
      <c r="DG377" s="79"/>
      <c r="DH377" s="51"/>
      <c r="DI377" s="39"/>
      <c r="DJ377" s="80"/>
      <c r="DK377" s="39"/>
      <c r="DL377" s="39"/>
      <c r="DM377" s="48"/>
      <c r="DN377" s="39"/>
      <c r="DO377" s="39"/>
      <c r="DP377" s="39"/>
      <c r="DQ377" s="39"/>
      <c r="DR377" s="39"/>
      <c r="DS377" s="39"/>
      <c r="DT377" s="39"/>
      <c r="DU377" s="19"/>
      <c r="DV377" s="40"/>
      <c r="DW377" s="40"/>
      <c r="DX377" s="46"/>
      <c r="DY377" s="21"/>
      <c r="DZ377" s="19"/>
      <c r="EA377" s="19"/>
      <c r="EB377" s="19"/>
      <c r="EC377" s="48"/>
      <c r="ED377" s="48"/>
      <c r="EE377" s="22"/>
      <c r="EF377" s="22"/>
      <c r="EG377" s="22"/>
      <c r="EH377" s="22"/>
      <c r="EI377" s="22"/>
      <c r="EJ377" s="22"/>
      <c r="EK377" s="40"/>
      <c r="EL377" s="19"/>
      <c r="EM377" s="19"/>
      <c r="EN377" s="146"/>
      <c r="EO377" s="146"/>
      <c r="EP377" s="146"/>
      <c r="EQ377" s="21"/>
      <c r="ER377" s="21"/>
      <c r="ES377" s="21"/>
      <c r="ET377" s="21"/>
      <c r="EU377" s="19"/>
      <c r="EV377" s="21"/>
      <c r="EW377" s="39"/>
      <c r="EX377" s="39"/>
      <c r="EY377" s="39"/>
      <c r="EZ377" s="39"/>
      <c r="FA377" s="39"/>
      <c r="FB377" s="39"/>
      <c r="FC377" s="39"/>
      <c r="FD377" s="39"/>
      <c r="FE377" s="39"/>
      <c r="FF377" s="39"/>
      <c r="FG377" s="39"/>
      <c r="FH377" s="39"/>
      <c r="FI377" s="39"/>
      <c r="FJ377" s="19"/>
      <c r="FK377" s="19"/>
      <c r="FL377" s="19"/>
      <c r="FM377" s="19"/>
      <c r="FN377" s="19"/>
      <c r="FO377" s="22">
        <v>1380.42</v>
      </c>
      <c r="FP377" s="22">
        <v>1416.29</v>
      </c>
      <c r="FQ377" s="22"/>
      <c r="FR377" s="22">
        <v>1656.5</v>
      </c>
      <c r="FS377" s="22">
        <v>1699.55</v>
      </c>
      <c r="FT377" s="22"/>
      <c r="FU377" s="40" t="s">
        <v>718</v>
      </c>
      <c r="FV377" s="19"/>
      <c r="FW377" s="19"/>
      <c r="FX377" s="19"/>
      <c r="FY377" s="19"/>
      <c r="FZ377" s="19"/>
      <c r="GA377" s="19"/>
      <c r="GB377" s="19"/>
      <c r="GC377" s="20"/>
      <c r="GD377" s="20"/>
      <c r="GE377" s="21"/>
      <c r="GF377" s="21"/>
      <c r="GG377" s="21"/>
      <c r="GH377" s="21"/>
      <c r="GI377" s="21"/>
      <c r="GJ377" s="21"/>
      <c r="GK377" s="21"/>
      <c r="GL377" s="21"/>
      <c r="GM377" s="19"/>
      <c r="GN377" s="19"/>
      <c r="GO377" s="22">
        <v>1415.23</v>
      </c>
      <c r="GP377" s="22">
        <v>1455.76</v>
      </c>
      <c r="GQ377" s="22"/>
      <c r="GR377" s="22">
        <v>1698.28</v>
      </c>
      <c r="GS377" s="22">
        <v>1746.91</v>
      </c>
      <c r="GT377" s="22"/>
      <c r="GU377" s="40" t="s">
        <v>718</v>
      </c>
      <c r="GV377" s="19"/>
      <c r="GW377" s="19"/>
      <c r="GX377" s="19"/>
      <c r="GY377" s="19"/>
      <c r="GZ377" s="23"/>
      <c r="HA377" s="22">
        <v>1455.33</v>
      </c>
      <c r="HB377" s="22">
        <v>1498.12</v>
      </c>
      <c r="HC377" s="22"/>
      <c r="HD377" s="22">
        <v>1746.4</v>
      </c>
      <c r="HE377" s="22">
        <v>1797.74</v>
      </c>
      <c r="HF377" s="22"/>
      <c r="HG377" s="236" t="s">
        <v>718</v>
      </c>
    </row>
    <row r="378" spans="2:215" ht="15.75">
      <c r="B378" s="10"/>
      <c r="C378" s="184" t="s">
        <v>300</v>
      </c>
      <c r="D378" s="73"/>
      <c r="E378" s="73"/>
      <c r="F378" s="74"/>
      <c r="G378" s="74"/>
      <c r="H378" s="74"/>
      <c r="I378" s="73"/>
      <c r="J378" s="74"/>
      <c r="K378" s="74"/>
      <c r="L378" s="74"/>
      <c r="M378" s="73"/>
      <c r="N378" s="73"/>
      <c r="O378" s="74"/>
      <c r="P378" s="74"/>
      <c r="Q378" s="74"/>
      <c r="R378" s="73"/>
      <c r="S378" s="74"/>
      <c r="T378" s="74"/>
      <c r="U378" s="74"/>
      <c r="V378" s="52"/>
      <c r="W378" s="52"/>
      <c r="X378" s="52"/>
      <c r="Y378" s="52"/>
      <c r="Z378" s="22"/>
      <c r="AA378" s="52"/>
      <c r="AB378" s="22"/>
      <c r="AC378" s="52"/>
      <c r="AD378" s="52"/>
      <c r="AE378" s="22"/>
      <c r="AF378" s="22"/>
      <c r="AG378" s="22"/>
      <c r="AH378" s="22"/>
      <c r="AI378" s="22"/>
      <c r="AJ378" s="52"/>
      <c r="AK378" s="22"/>
      <c r="AL378" s="22"/>
      <c r="AM378" s="22"/>
      <c r="AN378" s="22"/>
      <c r="AO378" s="22"/>
      <c r="AP378" s="22"/>
      <c r="AQ378" s="22"/>
      <c r="AR378" s="22"/>
      <c r="AS378" s="22"/>
      <c r="AT378" s="22"/>
      <c r="AU378" s="22"/>
      <c r="AV378" s="77"/>
      <c r="AW378" s="77"/>
      <c r="AX378" s="78"/>
      <c r="AY378" s="22"/>
      <c r="AZ378" s="22"/>
      <c r="BA378" s="22"/>
      <c r="BB378" s="22"/>
      <c r="BC378" s="22"/>
      <c r="BD378" s="22"/>
      <c r="BE378" s="22"/>
      <c r="BF378" s="22"/>
      <c r="BG378" s="22"/>
      <c r="BH378" s="22"/>
      <c r="BI378" s="22"/>
      <c r="BJ378" s="40"/>
      <c r="BK378" s="19"/>
      <c r="BL378" s="19"/>
      <c r="BM378" s="19"/>
      <c r="BN378" s="19"/>
      <c r="BO378" s="19"/>
      <c r="BP378" s="19"/>
      <c r="BQ378" s="19"/>
      <c r="BR378" s="19"/>
      <c r="BS378" s="19"/>
      <c r="BT378" s="19"/>
      <c r="BU378" s="19"/>
      <c r="BV378" s="19"/>
      <c r="BW378" s="19"/>
      <c r="BX378" s="19"/>
      <c r="BY378" s="19"/>
      <c r="BZ378" s="19"/>
      <c r="CA378" s="19"/>
      <c r="CB378" s="19"/>
      <c r="CC378" s="19"/>
      <c r="CD378" s="19"/>
      <c r="CE378" s="48"/>
      <c r="CF378" s="48"/>
      <c r="CG378" s="48"/>
      <c r="CH378" s="48"/>
      <c r="CI378" s="48"/>
      <c r="CJ378" s="48"/>
      <c r="CK378" s="48"/>
      <c r="CL378" s="48"/>
      <c r="CM378" s="48"/>
      <c r="CN378" s="48"/>
      <c r="CO378" s="48"/>
      <c r="CP378" s="48"/>
      <c r="CQ378" s="48"/>
      <c r="CR378" s="48"/>
      <c r="CS378" s="48"/>
      <c r="CT378" s="48"/>
      <c r="CU378" s="48"/>
      <c r="CV378" s="48"/>
      <c r="CW378" s="19"/>
      <c r="CX378" s="19"/>
      <c r="CY378" s="19"/>
      <c r="CZ378" s="19"/>
      <c r="DA378" s="21"/>
      <c r="DB378" s="21"/>
      <c r="DC378" s="79"/>
      <c r="DD378" s="79"/>
      <c r="DE378" s="79"/>
      <c r="DF378" s="79"/>
      <c r="DG378" s="79"/>
      <c r="DH378" s="51"/>
      <c r="DI378" s="39"/>
      <c r="DJ378" s="80"/>
      <c r="DK378" s="39"/>
      <c r="DL378" s="39"/>
      <c r="DM378" s="48"/>
      <c r="DN378" s="39"/>
      <c r="DO378" s="39"/>
      <c r="DP378" s="39"/>
      <c r="DQ378" s="39"/>
      <c r="DR378" s="39"/>
      <c r="DS378" s="39"/>
      <c r="DT378" s="39"/>
      <c r="DU378" s="19"/>
      <c r="DV378" s="40"/>
      <c r="DW378" s="40"/>
      <c r="DX378" s="46"/>
      <c r="DY378" s="21"/>
      <c r="DZ378" s="19"/>
      <c r="EA378" s="19"/>
      <c r="EB378" s="19"/>
      <c r="EC378" s="48"/>
      <c r="ED378" s="48"/>
      <c r="EE378" s="22"/>
      <c r="EF378" s="22"/>
      <c r="EG378" s="22"/>
      <c r="EH378" s="22"/>
      <c r="EI378" s="22"/>
      <c r="EJ378" s="22"/>
      <c r="EK378" s="40"/>
      <c r="EL378" s="19"/>
      <c r="EM378" s="19"/>
      <c r="EN378" s="146"/>
      <c r="EO378" s="146"/>
      <c r="EP378" s="146"/>
      <c r="EQ378" s="21"/>
      <c r="ER378" s="21"/>
      <c r="ES378" s="21"/>
      <c r="ET378" s="21"/>
      <c r="EU378" s="19"/>
      <c r="EV378" s="21"/>
      <c r="EW378" s="39"/>
      <c r="EX378" s="39"/>
      <c r="EY378" s="39"/>
      <c r="EZ378" s="39"/>
      <c r="FA378" s="39"/>
      <c r="FB378" s="39"/>
      <c r="FC378" s="39"/>
      <c r="FD378" s="39"/>
      <c r="FE378" s="39"/>
      <c r="FF378" s="39"/>
      <c r="FG378" s="39"/>
      <c r="FH378" s="39"/>
      <c r="FI378" s="39"/>
      <c r="FJ378" s="19"/>
      <c r="FK378" s="19"/>
      <c r="FL378" s="19"/>
      <c r="FM378" s="19"/>
      <c r="FN378" s="19"/>
      <c r="FO378" s="22">
        <v>117.2</v>
      </c>
      <c r="FP378" s="22">
        <v>119.93</v>
      </c>
      <c r="FQ378" s="22"/>
      <c r="FR378" s="22">
        <v>140.63999999999999</v>
      </c>
      <c r="FS378" s="22">
        <v>143.91999999999999</v>
      </c>
      <c r="FT378" s="22"/>
      <c r="FU378" s="40" t="s">
        <v>722</v>
      </c>
      <c r="FV378" s="19"/>
      <c r="FW378" s="19"/>
      <c r="FX378" s="19"/>
      <c r="FY378" s="19"/>
      <c r="FZ378" s="19"/>
      <c r="GA378" s="19"/>
      <c r="GB378" s="19"/>
      <c r="GC378" s="20"/>
      <c r="GD378" s="20"/>
      <c r="GE378" s="21"/>
      <c r="GF378" s="21"/>
      <c r="GG378" s="21"/>
      <c r="GH378" s="21"/>
      <c r="GI378" s="21"/>
      <c r="GJ378" s="21"/>
      <c r="GK378" s="21"/>
      <c r="GL378" s="21"/>
      <c r="GM378" s="19"/>
      <c r="GN378" s="19"/>
      <c r="GO378" s="22">
        <v>119.93</v>
      </c>
      <c r="GP378" s="22">
        <v>124.49</v>
      </c>
      <c r="GQ378" s="22"/>
      <c r="GR378" s="22">
        <v>143.91999999999999</v>
      </c>
      <c r="GS378" s="22">
        <v>149.38999999999999</v>
      </c>
      <c r="GT378" s="22"/>
      <c r="GU378" s="40" t="s">
        <v>722</v>
      </c>
      <c r="GV378" s="19"/>
      <c r="GW378" s="19"/>
      <c r="GX378" s="19"/>
      <c r="GY378" s="19"/>
      <c r="GZ378" s="23"/>
      <c r="HA378" s="22">
        <v>124.49</v>
      </c>
      <c r="HB378" s="22">
        <v>129.47</v>
      </c>
      <c r="HC378" s="22"/>
      <c r="HD378" s="22">
        <v>149.38999999999999</v>
      </c>
      <c r="HE378" s="22">
        <v>155.36000000000001</v>
      </c>
      <c r="HF378" s="22"/>
      <c r="HG378" s="236" t="s">
        <v>722</v>
      </c>
    </row>
    <row r="379" spans="2:215" ht="15.75">
      <c r="B379" s="10"/>
      <c r="C379" s="174" t="s">
        <v>583</v>
      </c>
      <c r="D379" s="73"/>
      <c r="E379" s="73"/>
      <c r="F379" s="74"/>
      <c r="G379" s="74"/>
      <c r="H379" s="74"/>
      <c r="I379" s="73"/>
      <c r="J379" s="74"/>
      <c r="K379" s="74"/>
      <c r="L379" s="74"/>
      <c r="M379" s="73"/>
      <c r="N379" s="73"/>
      <c r="O379" s="74"/>
      <c r="P379" s="74"/>
      <c r="Q379" s="74"/>
      <c r="R379" s="73"/>
      <c r="S379" s="74"/>
      <c r="T379" s="74"/>
      <c r="U379" s="74"/>
      <c r="V379" s="52"/>
      <c r="W379" s="52"/>
      <c r="X379" s="52"/>
      <c r="Y379" s="52"/>
      <c r="Z379" s="22"/>
      <c r="AA379" s="52"/>
      <c r="AB379" s="22"/>
      <c r="AC379" s="52"/>
      <c r="AD379" s="52"/>
      <c r="AE379" s="22"/>
      <c r="AF379" s="22"/>
      <c r="AG379" s="22"/>
      <c r="AH379" s="22"/>
      <c r="AI379" s="22"/>
      <c r="AJ379" s="52"/>
      <c r="AK379" s="22"/>
      <c r="AL379" s="22"/>
      <c r="AM379" s="22"/>
      <c r="AN379" s="22"/>
      <c r="AO379" s="22"/>
      <c r="AP379" s="22"/>
      <c r="AQ379" s="22"/>
      <c r="AR379" s="22"/>
      <c r="AS379" s="22"/>
      <c r="AT379" s="22"/>
      <c r="AU379" s="22"/>
      <c r="AV379" s="77"/>
      <c r="AW379" s="77"/>
      <c r="AX379" s="78"/>
      <c r="AY379" s="22"/>
      <c r="AZ379" s="22"/>
      <c r="BA379" s="22"/>
      <c r="BB379" s="22"/>
      <c r="BC379" s="22"/>
      <c r="BD379" s="22"/>
      <c r="BE379" s="22"/>
      <c r="BF379" s="22"/>
      <c r="BG379" s="22"/>
      <c r="BH379" s="22"/>
      <c r="BI379" s="22"/>
      <c r="BJ379" s="40"/>
      <c r="BK379" s="19"/>
      <c r="BL379" s="19"/>
      <c r="BM379" s="19"/>
      <c r="BN379" s="19"/>
      <c r="BO379" s="19"/>
      <c r="BP379" s="19"/>
      <c r="BQ379" s="19"/>
      <c r="BR379" s="19"/>
      <c r="BS379" s="19"/>
      <c r="BT379" s="19"/>
      <c r="BU379" s="19"/>
      <c r="BV379" s="19"/>
      <c r="BW379" s="19"/>
      <c r="BX379" s="19"/>
      <c r="BY379" s="19"/>
      <c r="BZ379" s="19"/>
      <c r="CA379" s="19"/>
      <c r="CB379" s="19"/>
      <c r="CC379" s="19"/>
      <c r="CD379" s="19"/>
      <c r="CE379" s="48"/>
      <c r="CF379" s="48"/>
      <c r="CG379" s="48"/>
      <c r="CH379" s="48"/>
      <c r="CI379" s="48"/>
      <c r="CJ379" s="48"/>
      <c r="CK379" s="48"/>
      <c r="CL379" s="48"/>
      <c r="CM379" s="48"/>
      <c r="CN379" s="48"/>
      <c r="CO379" s="48"/>
      <c r="CP379" s="48"/>
      <c r="CQ379" s="48"/>
      <c r="CR379" s="48"/>
      <c r="CS379" s="48"/>
      <c r="CT379" s="48"/>
      <c r="CU379" s="48"/>
      <c r="CV379" s="48"/>
      <c r="CW379" s="19"/>
      <c r="CX379" s="19"/>
      <c r="CY379" s="19"/>
      <c r="CZ379" s="19"/>
      <c r="DA379" s="21"/>
      <c r="DB379" s="21"/>
      <c r="DC379" s="79"/>
      <c r="DD379" s="79"/>
      <c r="DE379" s="79"/>
      <c r="DF379" s="79"/>
      <c r="DG379" s="79"/>
      <c r="DH379" s="51"/>
      <c r="DI379" s="39"/>
      <c r="DJ379" s="80"/>
      <c r="DK379" s="39"/>
      <c r="DL379" s="39"/>
      <c r="DM379" s="48"/>
      <c r="DN379" s="39"/>
      <c r="DO379" s="39"/>
      <c r="DP379" s="39"/>
      <c r="DQ379" s="39"/>
      <c r="DR379" s="39"/>
      <c r="DS379" s="39"/>
      <c r="DT379" s="39"/>
      <c r="DU379" s="19"/>
      <c r="DV379" s="40"/>
      <c r="DW379" s="40"/>
      <c r="DX379" s="46"/>
      <c r="DY379" s="21"/>
      <c r="DZ379" s="19"/>
      <c r="EA379" s="19"/>
      <c r="EB379" s="19"/>
      <c r="EC379" s="48"/>
      <c r="ED379" s="48"/>
      <c r="EE379" s="22"/>
      <c r="EF379" s="22"/>
      <c r="EG379" s="22"/>
      <c r="EH379" s="22"/>
      <c r="EI379" s="22"/>
      <c r="EJ379" s="22"/>
      <c r="EK379" s="40"/>
      <c r="EL379" s="19"/>
      <c r="EM379" s="19"/>
      <c r="EN379" s="146"/>
      <c r="EO379" s="146"/>
      <c r="EP379" s="146"/>
      <c r="EQ379" s="21"/>
      <c r="ER379" s="21"/>
      <c r="ES379" s="21"/>
      <c r="ET379" s="21"/>
      <c r="EU379" s="19"/>
      <c r="EV379" s="21"/>
      <c r="EW379" s="39"/>
      <c r="EX379" s="39"/>
      <c r="EY379" s="39"/>
      <c r="EZ379" s="39"/>
      <c r="FA379" s="39"/>
      <c r="FB379" s="39"/>
      <c r="FC379" s="39"/>
      <c r="FD379" s="39"/>
      <c r="FE379" s="39"/>
      <c r="FF379" s="39"/>
      <c r="FG379" s="39"/>
      <c r="FH379" s="39"/>
      <c r="FI379" s="39"/>
      <c r="FJ379" s="19"/>
      <c r="FK379" s="19"/>
      <c r="FL379" s="19"/>
      <c r="FM379" s="19"/>
      <c r="FN379" s="19"/>
      <c r="FO379" s="22"/>
      <c r="FP379" s="22"/>
      <c r="FQ379" s="22"/>
      <c r="FR379" s="22"/>
      <c r="FS379" s="22"/>
      <c r="FT379" s="22"/>
      <c r="FU379" s="40"/>
      <c r="FV379" s="19"/>
      <c r="FW379" s="19"/>
      <c r="FX379" s="19"/>
      <c r="FY379" s="19"/>
      <c r="FZ379" s="19"/>
      <c r="GA379" s="19"/>
      <c r="GB379" s="19"/>
      <c r="GC379" s="20"/>
      <c r="GD379" s="20"/>
      <c r="GE379" s="21"/>
      <c r="GF379" s="21"/>
      <c r="GG379" s="21"/>
      <c r="GH379" s="21"/>
      <c r="GI379" s="21"/>
      <c r="GJ379" s="21"/>
      <c r="GK379" s="21"/>
      <c r="GL379" s="21"/>
      <c r="GM379" s="19"/>
      <c r="GN379" s="19"/>
      <c r="GO379" s="22"/>
      <c r="GP379" s="22"/>
      <c r="GQ379" s="22"/>
      <c r="GR379" s="22"/>
      <c r="GS379" s="22"/>
      <c r="GT379" s="22"/>
      <c r="GU379" s="43"/>
      <c r="GV379" s="19"/>
      <c r="GW379" s="19"/>
      <c r="GX379" s="19"/>
      <c r="GY379" s="19"/>
      <c r="GZ379" s="23"/>
      <c r="HA379" s="22"/>
      <c r="HB379" s="22"/>
      <c r="HC379" s="22"/>
      <c r="HD379" s="22"/>
      <c r="HE379" s="22"/>
      <c r="HF379" s="22"/>
      <c r="HG379" s="233"/>
    </row>
    <row r="380" spans="2:215" ht="15.75">
      <c r="B380" s="10"/>
      <c r="C380" s="161" t="s">
        <v>204</v>
      </c>
      <c r="D380" s="73"/>
      <c r="E380" s="73"/>
      <c r="F380" s="74"/>
      <c r="G380" s="74"/>
      <c r="H380" s="74"/>
      <c r="I380" s="73"/>
      <c r="J380" s="74"/>
      <c r="K380" s="74"/>
      <c r="L380" s="74"/>
      <c r="M380" s="73"/>
      <c r="N380" s="73"/>
      <c r="O380" s="74"/>
      <c r="P380" s="74"/>
      <c r="Q380" s="74"/>
      <c r="R380" s="73"/>
      <c r="S380" s="74"/>
      <c r="T380" s="74"/>
      <c r="U380" s="74"/>
      <c r="V380" s="52"/>
      <c r="W380" s="52"/>
      <c r="X380" s="52"/>
      <c r="Y380" s="52"/>
      <c r="Z380" s="22"/>
      <c r="AA380" s="52"/>
      <c r="AB380" s="22"/>
      <c r="AC380" s="52"/>
      <c r="AD380" s="52"/>
      <c r="AE380" s="22"/>
      <c r="AF380" s="22"/>
      <c r="AG380" s="22"/>
      <c r="AH380" s="22"/>
      <c r="AI380" s="22"/>
      <c r="AJ380" s="52"/>
      <c r="AK380" s="22"/>
      <c r="AL380" s="22"/>
      <c r="AM380" s="22"/>
      <c r="AN380" s="22"/>
      <c r="AO380" s="22"/>
      <c r="AP380" s="22"/>
      <c r="AQ380" s="22"/>
      <c r="AR380" s="22"/>
      <c r="AS380" s="22"/>
      <c r="AT380" s="22"/>
      <c r="AU380" s="22"/>
      <c r="AV380" s="77"/>
      <c r="AW380" s="77"/>
      <c r="AX380" s="78"/>
      <c r="AY380" s="22"/>
      <c r="AZ380" s="22"/>
      <c r="BA380" s="22"/>
      <c r="BB380" s="22"/>
      <c r="BC380" s="22"/>
      <c r="BD380" s="22"/>
      <c r="BE380" s="22"/>
      <c r="BF380" s="22"/>
      <c r="BG380" s="22"/>
      <c r="BH380" s="22"/>
      <c r="BI380" s="22"/>
      <c r="BJ380" s="40"/>
      <c r="BK380" s="19"/>
      <c r="BL380" s="19"/>
      <c r="BM380" s="19"/>
      <c r="BN380" s="19"/>
      <c r="BO380" s="19"/>
      <c r="BP380" s="19"/>
      <c r="BQ380" s="19"/>
      <c r="BR380" s="19"/>
      <c r="BS380" s="19"/>
      <c r="BT380" s="19"/>
      <c r="BU380" s="19"/>
      <c r="BV380" s="19"/>
      <c r="BW380" s="19"/>
      <c r="BX380" s="19"/>
      <c r="BY380" s="19"/>
      <c r="BZ380" s="19"/>
      <c r="CA380" s="19"/>
      <c r="CB380" s="19"/>
      <c r="CC380" s="19"/>
      <c r="CD380" s="19"/>
      <c r="CE380" s="48"/>
      <c r="CF380" s="48"/>
      <c r="CG380" s="48"/>
      <c r="CH380" s="48"/>
      <c r="CI380" s="48"/>
      <c r="CJ380" s="48"/>
      <c r="CK380" s="48"/>
      <c r="CL380" s="48"/>
      <c r="CM380" s="48"/>
      <c r="CN380" s="48"/>
      <c r="CO380" s="48"/>
      <c r="CP380" s="48"/>
      <c r="CQ380" s="48"/>
      <c r="CR380" s="48"/>
      <c r="CS380" s="48"/>
      <c r="CT380" s="48"/>
      <c r="CU380" s="48"/>
      <c r="CV380" s="48"/>
      <c r="CW380" s="19"/>
      <c r="CX380" s="19"/>
      <c r="CY380" s="19"/>
      <c r="CZ380" s="19"/>
      <c r="DA380" s="21"/>
      <c r="DB380" s="21"/>
      <c r="DC380" s="79"/>
      <c r="DD380" s="79"/>
      <c r="DE380" s="79"/>
      <c r="DF380" s="79"/>
      <c r="DG380" s="79"/>
      <c r="DH380" s="51"/>
      <c r="DI380" s="39"/>
      <c r="DJ380" s="80"/>
      <c r="DK380" s="39"/>
      <c r="DL380" s="39"/>
      <c r="DM380" s="48"/>
      <c r="DN380" s="39"/>
      <c r="DO380" s="39"/>
      <c r="DP380" s="39"/>
      <c r="DQ380" s="39"/>
      <c r="DR380" s="39"/>
      <c r="DS380" s="39"/>
      <c r="DT380" s="39"/>
      <c r="DU380" s="19"/>
      <c r="DV380" s="40"/>
      <c r="DW380" s="40"/>
      <c r="DX380" s="46"/>
      <c r="DY380" s="21"/>
      <c r="DZ380" s="19"/>
      <c r="EA380" s="19"/>
      <c r="EB380" s="19"/>
      <c r="EC380" s="48"/>
      <c r="ED380" s="48"/>
      <c r="EE380" s="22"/>
      <c r="EF380" s="22"/>
      <c r="EG380" s="22"/>
      <c r="EH380" s="22"/>
      <c r="EI380" s="22"/>
      <c r="EJ380" s="22"/>
      <c r="EK380" s="40"/>
      <c r="EL380" s="19"/>
      <c r="EM380" s="19"/>
      <c r="EN380" s="146"/>
      <c r="EO380" s="146"/>
      <c r="EP380" s="146"/>
      <c r="EQ380" s="21"/>
      <c r="ER380" s="21"/>
      <c r="ES380" s="21"/>
      <c r="ET380" s="21"/>
      <c r="EU380" s="19"/>
      <c r="EV380" s="21"/>
      <c r="EW380" s="39"/>
      <c r="EX380" s="39"/>
      <c r="EY380" s="39"/>
      <c r="EZ380" s="39"/>
      <c r="FA380" s="39"/>
      <c r="FB380" s="39"/>
      <c r="FC380" s="39"/>
      <c r="FD380" s="39"/>
      <c r="FE380" s="39"/>
      <c r="FF380" s="39"/>
      <c r="FG380" s="39"/>
      <c r="FH380" s="39"/>
      <c r="FI380" s="39"/>
      <c r="FJ380" s="19"/>
      <c r="FK380" s="19"/>
      <c r="FL380" s="19"/>
      <c r="FM380" s="19"/>
      <c r="FN380" s="19"/>
      <c r="FO380" s="22">
        <v>1577.95</v>
      </c>
      <c r="FP380" s="22">
        <v>1604.72</v>
      </c>
      <c r="FQ380" s="22"/>
      <c r="FR380" s="22">
        <v>1893.54</v>
      </c>
      <c r="FS380" s="22">
        <v>1925.67</v>
      </c>
      <c r="FT380" s="22"/>
      <c r="FU380" s="40" t="s">
        <v>723</v>
      </c>
      <c r="FV380" s="19"/>
      <c r="FW380" s="19"/>
      <c r="FX380" s="19"/>
      <c r="FY380" s="19"/>
      <c r="FZ380" s="19"/>
      <c r="GA380" s="19"/>
      <c r="GB380" s="19"/>
      <c r="GC380" s="20"/>
      <c r="GD380" s="20"/>
      <c r="GE380" s="21"/>
      <c r="GF380" s="21"/>
      <c r="GG380" s="21"/>
      <c r="GH380" s="21"/>
      <c r="GI380" s="21"/>
      <c r="GJ380" s="21"/>
      <c r="GK380" s="21"/>
      <c r="GL380" s="21"/>
      <c r="GM380" s="19"/>
      <c r="GN380" s="19"/>
      <c r="GO380" s="22">
        <v>1642.05</v>
      </c>
      <c r="GP380" s="22">
        <v>1680.41</v>
      </c>
      <c r="GQ380" s="22"/>
      <c r="GR380" s="22">
        <v>1937.62</v>
      </c>
      <c r="GS380" s="22">
        <v>1982.88</v>
      </c>
      <c r="GT380" s="22"/>
      <c r="GU380" s="40" t="s">
        <v>723</v>
      </c>
      <c r="GV380" s="19"/>
      <c r="GW380" s="19"/>
      <c r="GX380" s="19"/>
      <c r="GY380" s="19"/>
      <c r="GZ380" s="23"/>
      <c r="HA380" s="22" t="s">
        <v>633</v>
      </c>
      <c r="HB380" s="22" t="s">
        <v>633</v>
      </c>
      <c r="HC380" s="22"/>
      <c r="HD380" s="22" t="s">
        <v>633</v>
      </c>
      <c r="HE380" s="22" t="s">
        <v>633</v>
      </c>
      <c r="HF380" s="22"/>
      <c r="HG380" s="233" t="s">
        <v>633</v>
      </c>
    </row>
    <row r="381" spans="2:215" ht="15.75">
      <c r="B381" s="10"/>
      <c r="C381" s="184" t="s">
        <v>300</v>
      </c>
      <c r="D381" s="73"/>
      <c r="E381" s="73"/>
      <c r="F381" s="74"/>
      <c r="G381" s="74"/>
      <c r="H381" s="74"/>
      <c r="I381" s="73"/>
      <c r="J381" s="74"/>
      <c r="K381" s="74"/>
      <c r="L381" s="74"/>
      <c r="M381" s="73"/>
      <c r="N381" s="73"/>
      <c r="O381" s="74"/>
      <c r="P381" s="74"/>
      <c r="Q381" s="74"/>
      <c r="R381" s="73"/>
      <c r="S381" s="74"/>
      <c r="T381" s="74"/>
      <c r="U381" s="74"/>
      <c r="V381" s="52"/>
      <c r="W381" s="52"/>
      <c r="X381" s="52"/>
      <c r="Y381" s="52"/>
      <c r="Z381" s="22"/>
      <c r="AA381" s="52"/>
      <c r="AB381" s="22"/>
      <c r="AC381" s="52"/>
      <c r="AD381" s="52"/>
      <c r="AE381" s="22"/>
      <c r="AF381" s="22"/>
      <c r="AG381" s="22"/>
      <c r="AH381" s="22"/>
      <c r="AI381" s="22"/>
      <c r="AJ381" s="52"/>
      <c r="AK381" s="22"/>
      <c r="AL381" s="22"/>
      <c r="AM381" s="22"/>
      <c r="AN381" s="22"/>
      <c r="AO381" s="22"/>
      <c r="AP381" s="22"/>
      <c r="AQ381" s="22"/>
      <c r="AR381" s="22"/>
      <c r="AS381" s="22"/>
      <c r="AT381" s="22"/>
      <c r="AU381" s="22"/>
      <c r="AV381" s="77"/>
      <c r="AW381" s="77"/>
      <c r="AX381" s="78"/>
      <c r="AY381" s="22"/>
      <c r="AZ381" s="22"/>
      <c r="BA381" s="22"/>
      <c r="BB381" s="22"/>
      <c r="BC381" s="22"/>
      <c r="BD381" s="22"/>
      <c r="BE381" s="22"/>
      <c r="BF381" s="22"/>
      <c r="BG381" s="22"/>
      <c r="BH381" s="22"/>
      <c r="BI381" s="22"/>
      <c r="BJ381" s="40"/>
      <c r="BK381" s="19"/>
      <c r="BL381" s="19"/>
      <c r="BM381" s="19"/>
      <c r="BN381" s="19"/>
      <c r="BO381" s="19"/>
      <c r="BP381" s="19"/>
      <c r="BQ381" s="19"/>
      <c r="BR381" s="19"/>
      <c r="BS381" s="19"/>
      <c r="BT381" s="19"/>
      <c r="BU381" s="19"/>
      <c r="BV381" s="19"/>
      <c r="BW381" s="19"/>
      <c r="BX381" s="19"/>
      <c r="BY381" s="19"/>
      <c r="BZ381" s="19"/>
      <c r="CA381" s="19"/>
      <c r="CB381" s="19"/>
      <c r="CC381" s="19"/>
      <c r="CD381" s="19"/>
      <c r="CE381" s="48"/>
      <c r="CF381" s="48"/>
      <c r="CG381" s="48"/>
      <c r="CH381" s="48"/>
      <c r="CI381" s="48"/>
      <c r="CJ381" s="48"/>
      <c r="CK381" s="48"/>
      <c r="CL381" s="48"/>
      <c r="CM381" s="48"/>
      <c r="CN381" s="48"/>
      <c r="CO381" s="48"/>
      <c r="CP381" s="48"/>
      <c r="CQ381" s="48"/>
      <c r="CR381" s="48"/>
      <c r="CS381" s="48"/>
      <c r="CT381" s="48"/>
      <c r="CU381" s="48"/>
      <c r="CV381" s="48"/>
      <c r="CW381" s="19"/>
      <c r="CX381" s="19"/>
      <c r="CY381" s="19"/>
      <c r="CZ381" s="19"/>
      <c r="DA381" s="21"/>
      <c r="DB381" s="21"/>
      <c r="DC381" s="79"/>
      <c r="DD381" s="79"/>
      <c r="DE381" s="79"/>
      <c r="DF381" s="79"/>
      <c r="DG381" s="79"/>
      <c r="DH381" s="51"/>
      <c r="DI381" s="39"/>
      <c r="DJ381" s="80"/>
      <c r="DK381" s="39"/>
      <c r="DL381" s="39"/>
      <c r="DM381" s="48"/>
      <c r="DN381" s="39"/>
      <c r="DO381" s="39"/>
      <c r="DP381" s="39"/>
      <c r="DQ381" s="39"/>
      <c r="DR381" s="39"/>
      <c r="DS381" s="39"/>
      <c r="DT381" s="39"/>
      <c r="DU381" s="19"/>
      <c r="DV381" s="40"/>
      <c r="DW381" s="40"/>
      <c r="DX381" s="46"/>
      <c r="DY381" s="21"/>
      <c r="DZ381" s="19"/>
      <c r="EA381" s="19"/>
      <c r="EB381" s="19"/>
      <c r="EC381" s="48"/>
      <c r="ED381" s="48"/>
      <c r="EE381" s="22"/>
      <c r="EF381" s="22"/>
      <c r="EG381" s="22"/>
      <c r="EH381" s="22"/>
      <c r="EI381" s="22"/>
      <c r="EJ381" s="22"/>
      <c r="EK381" s="40"/>
      <c r="EL381" s="19"/>
      <c r="EM381" s="19"/>
      <c r="EN381" s="146"/>
      <c r="EO381" s="146"/>
      <c r="EP381" s="146"/>
      <c r="EQ381" s="21"/>
      <c r="ER381" s="21"/>
      <c r="ES381" s="21"/>
      <c r="ET381" s="21"/>
      <c r="EU381" s="19"/>
      <c r="EV381" s="21"/>
      <c r="EW381" s="39"/>
      <c r="EX381" s="39"/>
      <c r="EY381" s="39"/>
      <c r="EZ381" s="39"/>
      <c r="FA381" s="39"/>
      <c r="FB381" s="39"/>
      <c r="FC381" s="39"/>
      <c r="FD381" s="39"/>
      <c r="FE381" s="39"/>
      <c r="FF381" s="39"/>
      <c r="FG381" s="39"/>
      <c r="FH381" s="39"/>
      <c r="FI381" s="39"/>
      <c r="FJ381" s="19"/>
      <c r="FK381" s="19"/>
      <c r="FL381" s="19"/>
      <c r="FM381" s="19"/>
      <c r="FN381" s="19"/>
      <c r="FO381" s="22">
        <v>117.86</v>
      </c>
      <c r="FP381" s="22">
        <v>119.81</v>
      </c>
      <c r="FQ381" s="22"/>
      <c r="FR381" s="22">
        <v>140.83000000000001</v>
      </c>
      <c r="FS381" s="22">
        <v>141.77000000000001</v>
      </c>
      <c r="FT381" s="22"/>
      <c r="FU381" s="40" t="s">
        <v>724</v>
      </c>
      <c r="FV381" s="19"/>
      <c r="FW381" s="19"/>
      <c r="FX381" s="19"/>
      <c r="FY381" s="19"/>
      <c r="FZ381" s="19"/>
      <c r="GA381" s="19"/>
      <c r="GB381" s="19"/>
      <c r="GC381" s="20"/>
      <c r="GD381" s="20"/>
      <c r="GE381" s="21"/>
      <c r="GF381" s="21"/>
      <c r="GG381" s="21"/>
      <c r="GH381" s="21"/>
      <c r="GI381" s="21"/>
      <c r="GJ381" s="21"/>
      <c r="GK381" s="21"/>
      <c r="GL381" s="21"/>
      <c r="GM381" s="19"/>
      <c r="GN381" s="19"/>
      <c r="GO381" s="22">
        <v>122.64</v>
      </c>
      <c r="GP381" s="22">
        <v>125.99</v>
      </c>
      <c r="GQ381" s="22"/>
      <c r="GR381" s="22">
        <v>144.72</v>
      </c>
      <c r="GS381" s="22">
        <v>148.66999999999999</v>
      </c>
      <c r="GT381" s="22"/>
      <c r="GU381" s="40" t="s">
        <v>724</v>
      </c>
      <c r="GV381" s="19"/>
      <c r="GW381" s="19"/>
      <c r="GX381" s="19"/>
      <c r="GY381" s="19"/>
      <c r="GZ381" s="23"/>
      <c r="HA381" s="22" t="s">
        <v>633</v>
      </c>
      <c r="HB381" s="22" t="s">
        <v>633</v>
      </c>
      <c r="HC381" s="22"/>
      <c r="HD381" s="22" t="s">
        <v>633</v>
      </c>
      <c r="HE381" s="22" t="s">
        <v>633</v>
      </c>
      <c r="HF381" s="22"/>
      <c r="HG381" s="233" t="s">
        <v>633</v>
      </c>
    </row>
    <row r="382" spans="2:215" ht="15.75">
      <c r="B382" s="10" t="s">
        <v>497</v>
      </c>
      <c r="C382" s="174" t="s">
        <v>584</v>
      </c>
      <c r="D382" s="73"/>
      <c r="E382" s="73"/>
      <c r="F382" s="74"/>
      <c r="G382" s="74"/>
      <c r="H382" s="74"/>
      <c r="I382" s="73"/>
      <c r="J382" s="74"/>
      <c r="K382" s="74"/>
      <c r="L382" s="74"/>
      <c r="M382" s="73"/>
      <c r="N382" s="73"/>
      <c r="O382" s="74"/>
      <c r="P382" s="74"/>
      <c r="Q382" s="74"/>
      <c r="R382" s="73"/>
      <c r="S382" s="74"/>
      <c r="T382" s="74"/>
      <c r="U382" s="74"/>
      <c r="V382" s="52"/>
      <c r="W382" s="52"/>
      <c r="X382" s="52"/>
      <c r="Y382" s="52"/>
      <c r="Z382" s="22"/>
      <c r="AA382" s="52"/>
      <c r="AB382" s="22"/>
      <c r="AC382" s="52"/>
      <c r="AD382" s="52"/>
      <c r="AE382" s="22"/>
      <c r="AF382" s="22"/>
      <c r="AG382" s="22"/>
      <c r="AH382" s="22"/>
      <c r="AI382" s="22"/>
      <c r="AJ382" s="52"/>
      <c r="AK382" s="22"/>
      <c r="AL382" s="22"/>
      <c r="AM382" s="22"/>
      <c r="AN382" s="22"/>
      <c r="AO382" s="22"/>
      <c r="AP382" s="22"/>
      <c r="AQ382" s="22"/>
      <c r="AR382" s="22"/>
      <c r="AS382" s="22"/>
      <c r="AT382" s="22"/>
      <c r="AU382" s="22"/>
      <c r="AV382" s="77"/>
      <c r="AW382" s="77"/>
      <c r="AX382" s="78"/>
      <c r="AY382" s="22"/>
      <c r="AZ382" s="22"/>
      <c r="BA382" s="22"/>
      <c r="BB382" s="22"/>
      <c r="BC382" s="22"/>
      <c r="BD382" s="22"/>
      <c r="BE382" s="22"/>
      <c r="BF382" s="22"/>
      <c r="BG382" s="22"/>
      <c r="BH382" s="22"/>
      <c r="BI382" s="22"/>
      <c r="BJ382" s="40"/>
      <c r="BK382" s="19"/>
      <c r="BL382" s="19"/>
      <c r="BM382" s="19"/>
      <c r="BN382" s="19"/>
      <c r="BO382" s="19"/>
      <c r="BP382" s="19"/>
      <c r="BQ382" s="19"/>
      <c r="BR382" s="19"/>
      <c r="BS382" s="19"/>
      <c r="BT382" s="19"/>
      <c r="BU382" s="19"/>
      <c r="BV382" s="19"/>
      <c r="BW382" s="19"/>
      <c r="BX382" s="19"/>
      <c r="BY382" s="19"/>
      <c r="BZ382" s="19"/>
      <c r="CA382" s="19"/>
      <c r="CB382" s="19"/>
      <c r="CC382" s="19"/>
      <c r="CD382" s="19"/>
      <c r="CE382" s="48"/>
      <c r="CF382" s="48"/>
      <c r="CG382" s="48"/>
      <c r="CH382" s="48"/>
      <c r="CI382" s="48"/>
      <c r="CJ382" s="48"/>
      <c r="CK382" s="48"/>
      <c r="CL382" s="48"/>
      <c r="CM382" s="48"/>
      <c r="CN382" s="48"/>
      <c r="CO382" s="48"/>
      <c r="CP382" s="48"/>
      <c r="CQ382" s="48"/>
      <c r="CR382" s="48"/>
      <c r="CS382" s="48"/>
      <c r="CT382" s="48"/>
      <c r="CU382" s="48"/>
      <c r="CV382" s="48"/>
      <c r="CW382" s="19"/>
      <c r="CX382" s="19"/>
      <c r="CY382" s="19"/>
      <c r="CZ382" s="19"/>
      <c r="DA382" s="21"/>
      <c r="DB382" s="21"/>
      <c r="DC382" s="79"/>
      <c r="DD382" s="79"/>
      <c r="DE382" s="79"/>
      <c r="DF382" s="79"/>
      <c r="DG382" s="79"/>
      <c r="DH382" s="51"/>
      <c r="DI382" s="39"/>
      <c r="DJ382" s="80"/>
      <c r="DK382" s="39"/>
      <c r="DL382" s="39"/>
      <c r="DM382" s="48"/>
      <c r="DN382" s="39"/>
      <c r="DO382" s="39"/>
      <c r="DP382" s="39"/>
      <c r="DQ382" s="39"/>
      <c r="DR382" s="39"/>
      <c r="DS382" s="39"/>
      <c r="DT382" s="39"/>
      <c r="DU382" s="19"/>
      <c r="DV382" s="40"/>
      <c r="DW382" s="40"/>
      <c r="DX382" s="46"/>
      <c r="DY382" s="21"/>
      <c r="DZ382" s="19"/>
      <c r="EA382" s="19"/>
      <c r="EB382" s="19"/>
      <c r="EC382" s="48"/>
      <c r="ED382" s="48"/>
      <c r="EE382" s="22"/>
      <c r="EF382" s="22"/>
      <c r="EG382" s="22">
        <f t="shared" si="1494"/>
        <v>0</v>
      </c>
      <c r="EH382" s="22"/>
      <c r="EI382" s="22"/>
      <c r="EJ382" s="22">
        <f t="shared" si="1495"/>
        <v>0</v>
      </c>
      <c r="EK382" s="40"/>
      <c r="EL382" s="19"/>
      <c r="EM382" s="19"/>
      <c r="EN382" s="146">
        <f t="shared" si="1439"/>
        <v>0</v>
      </c>
      <c r="EO382" s="146">
        <f t="shared" si="1440"/>
        <v>0</v>
      </c>
      <c r="EP382" s="146"/>
      <c r="EQ382" s="21">
        <f t="shared" si="1496"/>
        <v>0</v>
      </c>
      <c r="ER382" s="21"/>
      <c r="ES382" s="21">
        <f t="shared" si="1441"/>
        <v>0</v>
      </c>
      <c r="ET382" s="21"/>
      <c r="EU382" s="19">
        <f t="shared" si="1429"/>
        <v>0</v>
      </c>
      <c r="EV382" s="21"/>
      <c r="EW382" s="39"/>
      <c r="EX382" s="39">
        <f t="shared" si="1497"/>
        <v>0</v>
      </c>
      <c r="EY382" s="39">
        <f t="shared" ref="EY382:EY403" si="1499">+EF382*AY382</f>
        <v>0</v>
      </c>
      <c r="EZ382" s="39"/>
      <c r="FA382" s="39"/>
      <c r="FB382" s="39"/>
      <c r="FC382" s="39"/>
      <c r="FD382" s="39"/>
      <c r="FE382" s="39"/>
      <c r="FF382" s="39"/>
      <c r="FG382" s="39"/>
      <c r="FH382" s="39"/>
      <c r="FI382" s="39"/>
      <c r="FJ382" s="19">
        <f t="shared" si="1442"/>
        <v>0</v>
      </c>
      <c r="FK382" s="19">
        <f t="shared" si="1443"/>
        <v>0</v>
      </c>
      <c r="FL382" s="19">
        <f t="shared" si="1430"/>
        <v>0</v>
      </c>
      <c r="FM382" s="19"/>
      <c r="FN382" s="19"/>
      <c r="FO382" s="22"/>
      <c r="FP382" s="22"/>
      <c r="FQ382" s="22"/>
      <c r="FR382" s="22"/>
      <c r="FS382" s="22"/>
      <c r="FT382" s="22"/>
      <c r="FU382" s="40"/>
      <c r="FV382" s="19"/>
      <c r="FW382" s="19"/>
      <c r="FX382" s="19"/>
      <c r="FY382" s="19"/>
      <c r="FZ382" s="19"/>
      <c r="GA382" s="19"/>
      <c r="GB382" s="19"/>
      <c r="GC382" s="20"/>
      <c r="GD382" s="20"/>
      <c r="GE382" s="21"/>
      <c r="GF382" s="21"/>
      <c r="GG382" s="21"/>
      <c r="GH382" s="21"/>
      <c r="GI382" s="21"/>
      <c r="GJ382" s="21"/>
      <c r="GK382" s="21"/>
      <c r="GL382" s="21"/>
      <c r="GM382" s="19"/>
      <c r="GN382" s="19"/>
      <c r="GO382" s="22"/>
      <c r="GP382" s="22"/>
      <c r="GQ382" s="22"/>
      <c r="GR382" s="22"/>
      <c r="GS382" s="22"/>
      <c r="GT382" s="22"/>
      <c r="GU382" s="43"/>
      <c r="GV382" s="19"/>
      <c r="GW382" s="19"/>
      <c r="GX382" s="19"/>
      <c r="GY382" s="19"/>
      <c r="GZ382" s="23"/>
      <c r="HA382" s="22"/>
      <c r="HB382" s="22"/>
      <c r="HC382" s="22"/>
      <c r="HD382" s="22"/>
      <c r="HE382" s="22"/>
      <c r="HF382" s="22"/>
      <c r="HG382" s="233"/>
    </row>
    <row r="383" spans="2:215" ht="15.75">
      <c r="B383" s="10"/>
      <c r="C383" s="161" t="s">
        <v>588</v>
      </c>
      <c r="D383" s="73"/>
      <c r="E383" s="73"/>
      <c r="F383" s="74"/>
      <c r="G383" s="74"/>
      <c r="H383" s="74"/>
      <c r="I383" s="73"/>
      <c r="J383" s="74"/>
      <c r="K383" s="74"/>
      <c r="L383" s="74"/>
      <c r="M383" s="73"/>
      <c r="N383" s="73"/>
      <c r="O383" s="74"/>
      <c r="P383" s="74"/>
      <c r="Q383" s="74"/>
      <c r="R383" s="73"/>
      <c r="S383" s="74"/>
      <c r="T383" s="74"/>
      <c r="U383" s="74"/>
      <c r="V383" s="52"/>
      <c r="W383" s="52"/>
      <c r="X383" s="52"/>
      <c r="Y383" s="52"/>
      <c r="Z383" s="22"/>
      <c r="AA383" s="52"/>
      <c r="AB383" s="22"/>
      <c r="AC383" s="52"/>
      <c r="AD383" s="52"/>
      <c r="AE383" s="22"/>
      <c r="AF383" s="22"/>
      <c r="AG383" s="22"/>
      <c r="AH383" s="22"/>
      <c r="AI383" s="22"/>
      <c r="AJ383" s="52"/>
      <c r="AK383" s="22"/>
      <c r="AL383" s="22"/>
      <c r="AM383" s="22"/>
      <c r="AN383" s="22"/>
      <c r="AO383" s="22"/>
      <c r="AP383" s="22"/>
      <c r="AQ383" s="22"/>
      <c r="AR383" s="22"/>
      <c r="AS383" s="22"/>
      <c r="AT383" s="22"/>
      <c r="AU383" s="22"/>
      <c r="AV383" s="77"/>
      <c r="AW383" s="77"/>
      <c r="AX383" s="78"/>
      <c r="AY383" s="22"/>
      <c r="AZ383" s="22"/>
      <c r="BA383" s="22"/>
      <c r="BB383" s="22"/>
      <c r="BC383" s="22"/>
      <c r="BD383" s="22">
        <v>1450</v>
      </c>
      <c r="BE383" s="22"/>
      <c r="BF383" s="22"/>
      <c r="BG383" s="22">
        <v>1711</v>
      </c>
      <c r="BH383" s="22"/>
      <c r="BI383" s="22"/>
      <c r="BJ383" s="40" t="s">
        <v>498</v>
      </c>
      <c r="BK383" s="19"/>
      <c r="BL383" s="19"/>
      <c r="BM383" s="19"/>
      <c r="BN383" s="19"/>
      <c r="BO383" s="19"/>
      <c r="BP383" s="19"/>
      <c r="BQ383" s="19"/>
      <c r="BR383" s="19"/>
      <c r="BS383" s="19"/>
      <c r="BT383" s="19"/>
      <c r="BU383" s="19"/>
      <c r="BV383" s="19"/>
      <c r="BW383" s="19"/>
      <c r="BX383" s="19"/>
      <c r="BY383" s="19"/>
      <c r="BZ383" s="19"/>
      <c r="CA383" s="19"/>
      <c r="CB383" s="19"/>
      <c r="CC383" s="19"/>
      <c r="CD383" s="19"/>
      <c r="CE383" s="48"/>
      <c r="CF383" s="48"/>
      <c r="CG383" s="48"/>
      <c r="CH383" s="48"/>
      <c r="CI383" s="48"/>
      <c r="CJ383" s="48"/>
      <c r="CK383" s="48"/>
      <c r="CL383" s="48"/>
      <c r="CM383" s="48"/>
      <c r="CN383" s="48"/>
      <c r="CO383" s="48"/>
      <c r="CP383" s="48"/>
      <c r="CQ383" s="48"/>
      <c r="CR383" s="48"/>
      <c r="CS383" s="48"/>
      <c r="CT383" s="48"/>
      <c r="CU383" s="48"/>
      <c r="CV383" s="48"/>
      <c r="CW383" s="19"/>
      <c r="CX383" s="19"/>
      <c r="CY383" s="19"/>
      <c r="CZ383" s="19"/>
      <c r="DA383" s="21"/>
      <c r="DB383" s="21"/>
      <c r="DC383" s="79"/>
      <c r="DD383" s="79"/>
      <c r="DE383" s="79"/>
      <c r="DF383" s="79"/>
      <c r="DG383" s="79"/>
      <c r="DH383" s="51"/>
      <c r="DI383" s="39"/>
      <c r="DJ383" s="80"/>
      <c r="DK383" s="39"/>
      <c r="DL383" s="39"/>
      <c r="DM383" s="48"/>
      <c r="DN383" s="39"/>
      <c r="DO383" s="39"/>
      <c r="DP383" s="39"/>
      <c r="DQ383" s="39"/>
      <c r="DR383" s="39"/>
      <c r="DS383" s="39"/>
      <c r="DT383" s="39"/>
      <c r="DU383" s="19"/>
      <c r="DV383" s="40"/>
      <c r="DW383" s="40"/>
      <c r="DX383" s="46"/>
      <c r="DY383" s="21"/>
      <c r="DZ383" s="19"/>
      <c r="EA383" s="19"/>
      <c r="EB383" s="19"/>
      <c r="EC383" s="48"/>
      <c r="ED383" s="48"/>
      <c r="EE383" s="22">
        <v>1450</v>
      </c>
      <c r="EF383" s="22">
        <v>1529.62</v>
      </c>
      <c r="EG383" s="22">
        <f t="shared" si="1494"/>
        <v>105.49103448275861</v>
      </c>
      <c r="EH383" s="22">
        <v>1711</v>
      </c>
      <c r="EI383" s="22">
        <v>1804.95</v>
      </c>
      <c r="EJ383" s="22">
        <f t="shared" si="1495"/>
        <v>105.49094097019287</v>
      </c>
      <c r="EK383" s="40" t="s">
        <v>499</v>
      </c>
      <c r="EL383" s="19">
        <v>13.8071</v>
      </c>
      <c r="EM383" s="19">
        <v>13.406000000000001</v>
      </c>
      <c r="EN383" s="146">
        <f t="shared" si="1439"/>
        <v>20506.067542372883</v>
      </c>
      <c r="EO383" s="146">
        <f t="shared" si="1440"/>
        <v>20506.085719999999</v>
      </c>
      <c r="EP383" s="146"/>
      <c r="EQ383" s="21">
        <f t="shared" si="1496"/>
        <v>99.999911354963771</v>
      </c>
      <c r="ER383" s="21"/>
      <c r="ES383" s="21">
        <f t="shared" si="1441"/>
        <v>20020.295000000002</v>
      </c>
      <c r="ET383" s="21"/>
      <c r="EU383" s="19">
        <f t="shared" si="1429"/>
        <v>21119.616301999999</v>
      </c>
      <c r="EV383" s="21"/>
      <c r="EW383" s="39"/>
      <c r="EX383" s="39">
        <f t="shared" si="1497"/>
        <v>0</v>
      </c>
      <c r="EY383" s="39">
        <f t="shared" si="1499"/>
        <v>0</v>
      </c>
      <c r="EZ383" s="39"/>
      <c r="FA383" s="39"/>
      <c r="FB383" s="39"/>
      <c r="FC383" s="39"/>
      <c r="FD383" s="39"/>
      <c r="FE383" s="39"/>
      <c r="FF383" s="39"/>
      <c r="FG383" s="39"/>
      <c r="FH383" s="39"/>
      <c r="FI383" s="39"/>
      <c r="FJ383" s="19">
        <f t="shared" si="1442"/>
        <v>0</v>
      </c>
      <c r="FK383" s="19"/>
      <c r="FL383" s="19"/>
      <c r="FM383" s="19">
        <v>13.8071</v>
      </c>
      <c r="FN383" s="19">
        <v>13.406000000000001</v>
      </c>
      <c r="FO383" s="22">
        <v>1454.13</v>
      </c>
      <c r="FP383" s="22">
        <v>1477.93</v>
      </c>
      <c r="FQ383" s="22"/>
      <c r="FR383" s="22">
        <v>1744.96</v>
      </c>
      <c r="FS383" s="22">
        <v>1773.52</v>
      </c>
      <c r="FT383" s="22"/>
      <c r="FU383" s="40" t="s">
        <v>715</v>
      </c>
      <c r="FV383" s="19"/>
      <c r="FW383" s="19"/>
      <c r="FX383" s="19"/>
      <c r="FY383" s="19"/>
      <c r="FZ383" s="19"/>
      <c r="GA383" s="19"/>
      <c r="GB383" s="19"/>
      <c r="GC383" s="20"/>
      <c r="GD383" s="20"/>
      <c r="GE383" s="21"/>
      <c r="GF383" s="21"/>
      <c r="GG383" s="21"/>
      <c r="GH383" s="21"/>
      <c r="GI383" s="21"/>
      <c r="GJ383" s="21"/>
      <c r="GK383" s="21"/>
      <c r="GL383" s="21"/>
      <c r="GM383" s="19"/>
      <c r="GN383" s="19"/>
      <c r="GO383" s="22">
        <v>1477.91</v>
      </c>
      <c r="GP383" s="22">
        <v>1510.04</v>
      </c>
      <c r="GQ383" s="22"/>
      <c r="GR383" s="22">
        <v>1773.49</v>
      </c>
      <c r="GS383" s="22">
        <v>1812.05</v>
      </c>
      <c r="GT383" s="22"/>
      <c r="GU383" s="40" t="s">
        <v>715</v>
      </c>
      <c r="GV383" s="19"/>
      <c r="GW383" s="19"/>
      <c r="GX383" s="19"/>
      <c r="GY383" s="19"/>
      <c r="GZ383" s="23"/>
      <c r="HA383" s="22">
        <v>1495.58</v>
      </c>
      <c r="HB383" s="22">
        <v>1529.29</v>
      </c>
      <c r="HC383" s="22"/>
      <c r="HD383" s="22">
        <v>1794.7</v>
      </c>
      <c r="HE383" s="22">
        <v>1835.15</v>
      </c>
      <c r="HF383" s="22"/>
      <c r="HG383" s="236" t="s">
        <v>715</v>
      </c>
    </row>
    <row r="384" spans="2:215" ht="15.75">
      <c r="B384" s="10"/>
      <c r="C384" s="161" t="s">
        <v>617</v>
      </c>
      <c r="D384" s="73"/>
      <c r="E384" s="73"/>
      <c r="F384" s="74"/>
      <c r="G384" s="74"/>
      <c r="H384" s="74"/>
      <c r="I384" s="73"/>
      <c r="J384" s="74"/>
      <c r="K384" s="74"/>
      <c r="L384" s="74"/>
      <c r="M384" s="73"/>
      <c r="N384" s="73"/>
      <c r="O384" s="74"/>
      <c r="P384" s="74"/>
      <c r="Q384" s="74"/>
      <c r="R384" s="73"/>
      <c r="S384" s="74"/>
      <c r="T384" s="74"/>
      <c r="U384" s="74"/>
      <c r="V384" s="52"/>
      <c r="W384" s="52"/>
      <c r="X384" s="52"/>
      <c r="Y384" s="52"/>
      <c r="Z384" s="22"/>
      <c r="AA384" s="52"/>
      <c r="AB384" s="22"/>
      <c r="AC384" s="52"/>
      <c r="AD384" s="52"/>
      <c r="AE384" s="22"/>
      <c r="AF384" s="22"/>
      <c r="AG384" s="22"/>
      <c r="AH384" s="22"/>
      <c r="AI384" s="22"/>
      <c r="AJ384" s="52"/>
      <c r="AK384" s="22"/>
      <c r="AL384" s="22"/>
      <c r="AM384" s="22"/>
      <c r="AN384" s="22"/>
      <c r="AO384" s="22"/>
      <c r="AP384" s="22"/>
      <c r="AQ384" s="22"/>
      <c r="AR384" s="22"/>
      <c r="AS384" s="22"/>
      <c r="AT384" s="22"/>
      <c r="AU384" s="22"/>
      <c r="AV384" s="77"/>
      <c r="AW384" s="77"/>
      <c r="AX384" s="78"/>
      <c r="AY384" s="22"/>
      <c r="AZ384" s="22"/>
      <c r="BA384" s="22"/>
      <c r="BB384" s="22"/>
      <c r="BC384" s="22"/>
      <c r="BD384" s="22"/>
      <c r="BE384" s="22"/>
      <c r="BF384" s="22"/>
      <c r="BG384" s="22"/>
      <c r="BH384" s="22"/>
      <c r="BI384" s="22"/>
      <c r="BJ384" s="40"/>
      <c r="BK384" s="19"/>
      <c r="BL384" s="19"/>
      <c r="BM384" s="19"/>
      <c r="BN384" s="19"/>
      <c r="BO384" s="19"/>
      <c r="BP384" s="19"/>
      <c r="BQ384" s="19"/>
      <c r="BR384" s="19"/>
      <c r="BS384" s="19"/>
      <c r="BT384" s="19"/>
      <c r="BU384" s="19"/>
      <c r="BV384" s="19"/>
      <c r="BW384" s="19"/>
      <c r="BX384" s="19"/>
      <c r="BY384" s="19"/>
      <c r="BZ384" s="19"/>
      <c r="CA384" s="19"/>
      <c r="CB384" s="19"/>
      <c r="CC384" s="19"/>
      <c r="CD384" s="19"/>
      <c r="CE384" s="48"/>
      <c r="CF384" s="48"/>
      <c r="CG384" s="48"/>
      <c r="CH384" s="48"/>
      <c r="CI384" s="48"/>
      <c r="CJ384" s="48"/>
      <c r="CK384" s="48"/>
      <c r="CL384" s="48"/>
      <c r="CM384" s="48"/>
      <c r="CN384" s="48"/>
      <c r="CO384" s="48"/>
      <c r="CP384" s="48"/>
      <c r="CQ384" s="48"/>
      <c r="CR384" s="48"/>
      <c r="CS384" s="48"/>
      <c r="CT384" s="48"/>
      <c r="CU384" s="48"/>
      <c r="CV384" s="48"/>
      <c r="CW384" s="19"/>
      <c r="CX384" s="19"/>
      <c r="CY384" s="19"/>
      <c r="CZ384" s="19"/>
      <c r="DA384" s="21"/>
      <c r="DB384" s="21"/>
      <c r="DC384" s="79"/>
      <c r="DD384" s="79"/>
      <c r="DE384" s="79"/>
      <c r="DF384" s="79"/>
      <c r="DG384" s="79"/>
      <c r="DH384" s="51"/>
      <c r="DI384" s="39"/>
      <c r="DJ384" s="80"/>
      <c r="DK384" s="39"/>
      <c r="DL384" s="39"/>
      <c r="DM384" s="48"/>
      <c r="DN384" s="39"/>
      <c r="DO384" s="39"/>
      <c r="DP384" s="39"/>
      <c r="DQ384" s="39"/>
      <c r="DR384" s="39"/>
      <c r="DS384" s="39"/>
      <c r="DT384" s="39"/>
      <c r="DU384" s="19"/>
      <c r="DV384" s="40"/>
      <c r="DW384" s="40"/>
      <c r="DX384" s="46"/>
      <c r="DY384" s="21"/>
      <c r="DZ384" s="19"/>
      <c r="EA384" s="19"/>
      <c r="EB384" s="19"/>
      <c r="EC384" s="48"/>
      <c r="ED384" s="48"/>
      <c r="EE384" s="22"/>
      <c r="EF384" s="22"/>
      <c r="EG384" s="22"/>
      <c r="EH384" s="22"/>
      <c r="EI384" s="22"/>
      <c r="EJ384" s="22"/>
      <c r="EK384" s="40"/>
      <c r="EL384" s="19"/>
      <c r="EM384" s="19"/>
      <c r="EN384" s="146"/>
      <c r="EO384" s="146"/>
      <c r="EP384" s="146"/>
      <c r="EQ384" s="21"/>
      <c r="ER384" s="21"/>
      <c r="ES384" s="21"/>
      <c r="ET384" s="21"/>
      <c r="EU384" s="19"/>
      <c r="EV384" s="21"/>
      <c r="EW384" s="39"/>
      <c r="EX384" s="39"/>
      <c r="EY384" s="39"/>
      <c r="EZ384" s="39"/>
      <c r="FA384" s="39"/>
      <c r="FB384" s="39"/>
      <c r="FC384" s="39"/>
      <c r="FD384" s="39"/>
      <c r="FE384" s="39"/>
      <c r="FF384" s="39"/>
      <c r="FG384" s="39"/>
      <c r="FH384" s="39"/>
      <c r="FI384" s="39"/>
      <c r="FJ384" s="19"/>
      <c r="FK384" s="19"/>
      <c r="FL384" s="19"/>
      <c r="FM384" s="19"/>
      <c r="FN384" s="19"/>
      <c r="FO384" s="22">
        <v>1798.99</v>
      </c>
      <c r="FP384" s="22">
        <v>1838.55</v>
      </c>
      <c r="FQ384" s="22"/>
      <c r="FR384" s="22">
        <v>2158.7800000000002</v>
      </c>
      <c r="FS384" s="22">
        <v>2206.2600000000002</v>
      </c>
      <c r="FT384" s="22"/>
      <c r="FU384" s="40" t="s">
        <v>717</v>
      </c>
      <c r="FV384" s="19"/>
      <c r="FW384" s="19"/>
      <c r="FX384" s="19"/>
      <c r="FY384" s="19"/>
      <c r="FZ384" s="19"/>
      <c r="GA384" s="19"/>
      <c r="GB384" s="19"/>
      <c r="GC384" s="20"/>
      <c r="GD384" s="20"/>
      <c r="GE384" s="21"/>
      <c r="GF384" s="21"/>
      <c r="GG384" s="21"/>
      <c r="GH384" s="21"/>
      <c r="GI384" s="21"/>
      <c r="GJ384" s="21"/>
      <c r="GK384" s="21"/>
      <c r="GL384" s="21"/>
      <c r="GM384" s="19"/>
      <c r="GN384" s="19"/>
      <c r="GO384" s="22" t="s">
        <v>633</v>
      </c>
      <c r="GP384" s="22" t="s">
        <v>633</v>
      </c>
      <c r="GQ384" s="22"/>
      <c r="GR384" s="22" t="s">
        <v>633</v>
      </c>
      <c r="GS384" s="22" t="s">
        <v>633</v>
      </c>
      <c r="GT384" s="22"/>
      <c r="GU384" s="43" t="s">
        <v>633</v>
      </c>
      <c r="GV384" s="19"/>
      <c r="GW384" s="19"/>
      <c r="GX384" s="19"/>
      <c r="GY384" s="19"/>
      <c r="GZ384" s="23"/>
      <c r="HA384" s="22" t="s">
        <v>633</v>
      </c>
      <c r="HB384" s="22" t="s">
        <v>633</v>
      </c>
      <c r="HC384" s="22"/>
      <c r="HD384" s="22" t="s">
        <v>633</v>
      </c>
      <c r="HE384" s="22" t="s">
        <v>633</v>
      </c>
      <c r="HF384" s="22"/>
      <c r="HG384" s="233" t="s">
        <v>633</v>
      </c>
    </row>
    <row r="385" spans="2:215" ht="15.75">
      <c r="B385" s="10"/>
      <c r="C385" s="184" t="s">
        <v>618</v>
      </c>
      <c r="D385" s="73"/>
      <c r="E385" s="73"/>
      <c r="F385" s="74"/>
      <c r="G385" s="74"/>
      <c r="H385" s="74"/>
      <c r="I385" s="73"/>
      <c r="J385" s="74"/>
      <c r="K385" s="74"/>
      <c r="L385" s="74"/>
      <c r="M385" s="73"/>
      <c r="N385" s="73"/>
      <c r="O385" s="74"/>
      <c r="P385" s="74"/>
      <c r="Q385" s="74"/>
      <c r="R385" s="73"/>
      <c r="S385" s="74"/>
      <c r="T385" s="74"/>
      <c r="U385" s="74"/>
      <c r="V385" s="52"/>
      <c r="W385" s="52"/>
      <c r="X385" s="52"/>
      <c r="Y385" s="52"/>
      <c r="Z385" s="22"/>
      <c r="AA385" s="52"/>
      <c r="AB385" s="22"/>
      <c r="AC385" s="52"/>
      <c r="AD385" s="52"/>
      <c r="AE385" s="22"/>
      <c r="AF385" s="22"/>
      <c r="AG385" s="22"/>
      <c r="AH385" s="22"/>
      <c r="AI385" s="22"/>
      <c r="AJ385" s="52"/>
      <c r="AK385" s="22"/>
      <c r="AL385" s="22"/>
      <c r="AM385" s="22"/>
      <c r="AN385" s="22"/>
      <c r="AO385" s="22"/>
      <c r="AP385" s="22"/>
      <c r="AQ385" s="22"/>
      <c r="AR385" s="22"/>
      <c r="AS385" s="22"/>
      <c r="AT385" s="22"/>
      <c r="AU385" s="22"/>
      <c r="AV385" s="77"/>
      <c r="AW385" s="77"/>
      <c r="AX385" s="78"/>
      <c r="AY385" s="22"/>
      <c r="AZ385" s="22"/>
      <c r="BA385" s="22"/>
      <c r="BB385" s="22"/>
      <c r="BC385" s="22"/>
      <c r="BD385" s="22"/>
      <c r="BE385" s="22"/>
      <c r="BF385" s="22"/>
      <c r="BG385" s="22"/>
      <c r="BH385" s="22"/>
      <c r="BI385" s="22"/>
      <c r="BJ385" s="40"/>
      <c r="BK385" s="19"/>
      <c r="BL385" s="19"/>
      <c r="BM385" s="19"/>
      <c r="BN385" s="19"/>
      <c r="BO385" s="19"/>
      <c r="BP385" s="19"/>
      <c r="BQ385" s="19"/>
      <c r="BR385" s="19"/>
      <c r="BS385" s="19"/>
      <c r="BT385" s="19"/>
      <c r="BU385" s="19"/>
      <c r="BV385" s="19"/>
      <c r="BW385" s="19"/>
      <c r="BX385" s="19"/>
      <c r="BY385" s="19"/>
      <c r="BZ385" s="19"/>
      <c r="CA385" s="19"/>
      <c r="CB385" s="19"/>
      <c r="CC385" s="19"/>
      <c r="CD385" s="19"/>
      <c r="CE385" s="48"/>
      <c r="CF385" s="48"/>
      <c r="CG385" s="48"/>
      <c r="CH385" s="48"/>
      <c r="CI385" s="48"/>
      <c r="CJ385" s="48"/>
      <c r="CK385" s="48"/>
      <c r="CL385" s="48"/>
      <c r="CM385" s="48"/>
      <c r="CN385" s="48"/>
      <c r="CO385" s="48"/>
      <c r="CP385" s="48"/>
      <c r="CQ385" s="48"/>
      <c r="CR385" s="48"/>
      <c r="CS385" s="48"/>
      <c r="CT385" s="48"/>
      <c r="CU385" s="48"/>
      <c r="CV385" s="48"/>
      <c r="CW385" s="19"/>
      <c r="CX385" s="19"/>
      <c r="CY385" s="19"/>
      <c r="CZ385" s="19"/>
      <c r="DA385" s="21"/>
      <c r="DB385" s="21"/>
      <c r="DC385" s="79"/>
      <c r="DD385" s="79"/>
      <c r="DE385" s="79"/>
      <c r="DF385" s="79"/>
      <c r="DG385" s="79"/>
      <c r="DH385" s="51"/>
      <c r="DI385" s="39"/>
      <c r="DJ385" s="80"/>
      <c r="DK385" s="39"/>
      <c r="DL385" s="39"/>
      <c r="DM385" s="48"/>
      <c r="DN385" s="39"/>
      <c r="DO385" s="39"/>
      <c r="DP385" s="39"/>
      <c r="DQ385" s="39"/>
      <c r="DR385" s="39"/>
      <c r="DS385" s="39"/>
      <c r="DT385" s="39"/>
      <c r="DU385" s="19"/>
      <c r="DV385" s="40"/>
      <c r="DW385" s="40"/>
      <c r="DX385" s="46"/>
      <c r="DY385" s="21"/>
      <c r="DZ385" s="19"/>
      <c r="EA385" s="19"/>
      <c r="EB385" s="19"/>
      <c r="EC385" s="48"/>
      <c r="ED385" s="48"/>
      <c r="EE385" s="22"/>
      <c r="EF385" s="22"/>
      <c r="EG385" s="22"/>
      <c r="EH385" s="22"/>
      <c r="EI385" s="22"/>
      <c r="EJ385" s="22"/>
      <c r="EK385" s="40"/>
      <c r="EL385" s="19">
        <v>1.2</v>
      </c>
      <c r="EM385" s="19"/>
      <c r="EN385" s="146"/>
      <c r="EO385" s="146"/>
      <c r="EP385" s="146"/>
      <c r="EQ385" s="21"/>
      <c r="ER385" s="21"/>
      <c r="ES385" s="21"/>
      <c r="ET385" s="21"/>
      <c r="EU385" s="19"/>
      <c r="EV385" s="21"/>
      <c r="EW385" s="39"/>
      <c r="EX385" s="39"/>
      <c r="EY385" s="39"/>
      <c r="EZ385" s="39"/>
      <c r="FA385" s="39"/>
      <c r="FB385" s="39"/>
      <c r="FC385" s="39"/>
      <c r="FD385" s="39"/>
      <c r="FE385" s="39"/>
      <c r="FF385" s="39"/>
      <c r="FG385" s="39"/>
      <c r="FH385" s="39"/>
      <c r="FI385" s="39"/>
      <c r="FJ385" s="19"/>
      <c r="FK385" s="19"/>
      <c r="FL385" s="19"/>
      <c r="FM385" s="19">
        <v>1.2</v>
      </c>
      <c r="FN385" s="19"/>
      <c r="FO385" s="22">
        <v>144.22999999999999</v>
      </c>
      <c r="FP385" s="22">
        <v>147.19999999999999</v>
      </c>
      <c r="FQ385" s="22"/>
      <c r="FR385" s="22">
        <v>173.08</v>
      </c>
      <c r="FS385" s="22">
        <v>176.64</v>
      </c>
      <c r="FT385" s="22"/>
      <c r="FU385" s="40" t="s">
        <v>716</v>
      </c>
      <c r="FV385" s="19"/>
      <c r="FW385" s="19"/>
      <c r="FX385" s="19"/>
      <c r="FY385" s="19"/>
      <c r="FZ385" s="19"/>
      <c r="GA385" s="19"/>
      <c r="GB385" s="19"/>
      <c r="GC385" s="20"/>
      <c r="GD385" s="20"/>
      <c r="GE385" s="21"/>
      <c r="GF385" s="21"/>
      <c r="GG385" s="21"/>
      <c r="GH385" s="21"/>
      <c r="GI385" s="21"/>
      <c r="GJ385" s="21"/>
      <c r="GK385" s="21"/>
      <c r="GL385" s="21"/>
      <c r="GM385" s="19"/>
      <c r="GN385" s="19"/>
      <c r="GO385" s="22" t="s">
        <v>633</v>
      </c>
      <c r="GP385" s="22" t="s">
        <v>633</v>
      </c>
      <c r="GQ385" s="22"/>
      <c r="GR385" s="22" t="s">
        <v>633</v>
      </c>
      <c r="GS385" s="22" t="s">
        <v>633</v>
      </c>
      <c r="GT385" s="22"/>
      <c r="GU385" s="43" t="s">
        <v>633</v>
      </c>
      <c r="GV385" s="19"/>
      <c r="GW385" s="19"/>
      <c r="GX385" s="19"/>
      <c r="GY385" s="19"/>
      <c r="GZ385" s="23"/>
      <c r="HA385" s="22" t="s">
        <v>633</v>
      </c>
      <c r="HB385" s="22" t="s">
        <v>633</v>
      </c>
      <c r="HC385" s="22"/>
      <c r="HD385" s="22" t="s">
        <v>633</v>
      </c>
      <c r="HE385" s="22" t="s">
        <v>633</v>
      </c>
      <c r="HF385" s="22"/>
      <c r="HG385" s="233" t="s">
        <v>633</v>
      </c>
    </row>
    <row r="386" spans="2:215" ht="15.75">
      <c r="B386" s="10"/>
      <c r="C386" s="161" t="s">
        <v>585</v>
      </c>
      <c r="D386" s="73"/>
      <c r="E386" s="73"/>
      <c r="F386" s="74"/>
      <c r="G386" s="74"/>
      <c r="H386" s="74"/>
      <c r="I386" s="73"/>
      <c r="J386" s="74"/>
      <c r="K386" s="74"/>
      <c r="L386" s="74"/>
      <c r="M386" s="73"/>
      <c r="N386" s="73"/>
      <c r="O386" s="74"/>
      <c r="P386" s="74"/>
      <c r="Q386" s="74"/>
      <c r="R386" s="73"/>
      <c r="S386" s="74"/>
      <c r="T386" s="74"/>
      <c r="U386" s="74"/>
      <c r="V386" s="52"/>
      <c r="W386" s="52"/>
      <c r="X386" s="52"/>
      <c r="Y386" s="52"/>
      <c r="Z386" s="22"/>
      <c r="AA386" s="52"/>
      <c r="AB386" s="22"/>
      <c r="AC386" s="52"/>
      <c r="AD386" s="52"/>
      <c r="AE386" s="22"/>
      <c r="AF386" s="22"/>
      <c r="AG386" s="22"/>
      <c r="AH386" s="22"/>
      <c r="AI386" s="22"/>
      <c r="AJ386" s="52"/>
      <c r="AK386" s="22"/>
      <c r="AL386" s="22"/>
      <c r="AM386" s="22"/>
      <c r="AN386" s="22"/>
      <c r="AO386" s="22"/>
      <c r="AP386" s="22"/>
      <c r="AQ386" s="22"/>
      <c r="AR386" s="22"/>
      <c r="AS386" s="22"/>
      <c r="AT386" s="22"/>
      <c r="AU386" s="22"/>
      <c r="AV386" s="77"/>
      <c r="AW386" s="77"/>
      <c r="AX386" s="78"/>
      <c r="AY386" s="22"/>
      <c r="AZ386" s="22"/>
      <c r="BA386" s="22"/>
      <c r="BB386" s="22"/>
      <c r="BC386" s="22"/>
      <c r="BD386" s="22"/>
      <c r="BE386" s="22"/>
      <c r="BF386" s="22"/>
      <c r="BG386" s="22"/>
      <c r="BH386" s="22"/>
      <c r="BI386" s="22"/>
      <c r="BJ386" s="40"/>
      <c r="BK386" s="19"/>
      <c r="BL386" s="19"/>
      <c r="BM386" s="19"/>
      <c r="BN386" s="19"/>
      <c r="BO386" s="19"/>
      <c r="BP386" s="19"/>
      <c r="BQ386" s="19"/>
      <c r="BR386" s="19"/>
      <c r="BS386" s="19"/>
      <c r="BT386" s="19"/>
      <c r="BU386" s="19"/>
      <c r="BV386" s="19"/>
      <c r="BW386" s="19"/>
      <c r="BX386" s="19"/>
      <c r="BY386" s="19"/>
      <c r="BZ386" s="19"/>
      <c r="CA386" s="19"/>
      <c r="CB386" s="19"/>
      <c r="CC386" s="19"/>
      <c r="CD386" s="19"/>
      <c r="CE386" s="48"/>
      <c r="CF386" s="48"/>
      <c r="CG386" s="48"/>
      <c r="CH386" s="48"/>
      <c r="CI386" s="48"/>
      <c r="CJ386" s="48"/>
      <c r="CK386" s="48"/>
      <c r="CL386" s="48"/>
      <c r="CM386" s="48"/>
      <c r="CN386" s="48"/>
      <c r="CO386" s="48"/>
      <c r="CP386" s="48"/>
      <c r="CQ386" s="48"/>
      <c r="CR386" s="48"/>
      <c r="CS386" s="48"/>
      <c r="CT386" s="48"/>
      <c r="CU386" s="48"/>
      <c r="CV386" s="48"/>
      <c r="CW386" s="19"/>
      <c r="CX386" s="19"/>
      <c r="CY386" s="19"/>
      <c r="CZ386" s="19"/>
      <c r="DA386" s="21"/>
      <c r="DB386" s="21"/>
      <c r="DC386" s="79"/>
      <c r="DD386" s="79"/>
      <c r="DE386" s="79"/>
      <c r="DF386" s="79"/>
      <c r="DG386" s="79"/>
      <c r="DH386" s="51"/>
      <c r="DI386" s="39"/>
      <c r="DJ386" s="80"/>
      <c r="DK386" s="39"/>
      <c r="DL386" s="39"/>
      <c r="DM386" s="48"/>
      <c r="DN386" s="39"/>
      <c r="DO386" s="39"/>
      <c r="DP386" s="39"/>
      <c r="DQ386" s="39"/>
      <c r="DR386" s="39"/>
      <c r="DS386" s="39"/>
      <c r="DT386" s="39"/>
      <c r="DU386" s="19"/>
      <c r="DV386" s="40"/>
      <c r="DW386" s="40"/>
      <c r="DX386" s="46"/>
      <c r="DY386" s="21"/>
      <c r="DZ386" s="19"/>
      <c r="EA386" s="19"/>
      <c r="EB386" s="19"/>
      <c r="EC386" s="48"/>
      <c r="ED386" s="48"/>
      <c r="EE386" s="22"/>
      <c r="EF386" s="22"/>
      <c r="EG386" s="22"/>
      <c r="EH386" s="22"/>
      <c r="EI386" s="22"/>
      <c r="EJ386" s="22"/>
      <c r="EK386" s="40"/>
      <c r="EL386" s="19"/>
      <c r="EM386" s="19"/>
      <c r="EN386" s="146"/>
      <c r="EO386" s="146"/>
      <c r="EP386" s="146"/>
      <c r="EQ386" s="21"/>
      <c r="ER386" s="21"/>
      <c r="ES386" s="21"/>
      <c r="ET386" s="21"/>
      <c r="EU386" s="19"/>
      <c r="EV386" s="21"/>
      <c r="EW386" s="39"/>
      <c r="EX386" s="39"/>
      <c r="EY386" s="39"/>
      <c r="EZ386" s="39"/>
      <c r="FA386" s="39"/>
      <c r="FB386" s="39"/>
      <c r="FC386" s="39"/>
      <c r="FD386" s="39"/>
      <c r="FE386" s="39"/>
      <c r="FF386" s="39"/>
      <c r="FG386" s="39"/>
      <c r="FH386" s="39"/>
      <c r="FI386" s="39"/>
      <c r="FJ386" s="19"/>
      <c r="FK386" s="19"/>
      <c r="FL386" s="19"/>
      <c r="FM386" s="19"/>
      <c r="FN386" s="19"/>
      <c r="FO386" s="22">
        <v>1400.9</v>
      </c>
      <c r="FP386" s="22">
        <v>1430.04</v>
      </c>
      <c r="FQ386" s="22"/>
      <c r="FR386" s="22">
        <v>1681.08</v>
      </c>
      <c r="FS386" s="22">
        <v>1716.05</v>
      </c>
      <c r="FT386" s="22"/>
      <c r="FU386" s="40" t="s">
        <v>720</v>
      </c>
      <c r="FV386" s="19"/>
      <c r="FW386" s="19"/>
      <c r="FX386" s="19"/>
      <c r="FY386" s="19"/>
      <c r="FZ386" s="19"/>
      <c r="GA386" s="19"/>
      <c r="GB386" s="19"/>
      <c r="GC386" s="20"/>
      <c r="GD386" s="20"/>
      <c r="GE386" s="21"/>
      <c r="GF386" s="21"/>
      <c r="GG386" s="21"/>
      <c r="GH386" s="21"/>
      <c r="GI386" s="21"/>
      <c r="GJ386" s="21"/>
      <c r="GK386" s="21"/>
      <c r="GL386" s="21"/>
      <c r="GM386" s="19"/>
      <c r="GN386" s="19"/>
      <c r="GO386" s="22">
        <v>1656.96</v>
      </c>
      <c r="GP386" s="22">
        <v>1698.28</v>
      </c>
      <c r="GQ386" s="22"/>
      <c r="GR386" s="22">
        <v>1955.21</v>
      </c>
      <c r="GS386" s="22">
        <v>2003.97</v>
      </c>
      <c r="GT386" s="22"/>
      <c r="GU386" s="40" t="s">
        <v>720</v>
      </c>
      <c r="GV386" s="19"/>
      <c r="GW386" s="19"/>
      <c r="GX386" s="19"/>
      <c r="GY386" s="19"/>
      <c r="GZ386" s="23"/>
      <c r="HA386" s="22" t="s">
        <v>633</v>
      </c>
      <c r="HB386" s="22" t="s">
        <v>633</v>
      </c>
      <c r="HC386" s="22"/>
      <c r="HD386" s="22" t="s">
        <v>633</v>
      </c>
      <c r="HE386" s="22" t="s">
        <v>633</v>
      </c>
      <c r="HF386" s="22"/>
      <c r="HG386" s="233" t="s">
        <v>633</v>
      </c>
    </row>
    <row r="387" spans="2:215" ht="15.75">
      <c r="B387" s="10"/>
      <c r="C387" s="161" t="s">
        <v>619</v>
      </c>
      <c r="D387" s="73"/>
      <c r="E387" s="73"/>
      <c r="F387" s="74"/>
      <c r="G387" s="74"/>
      <c r="H387" s="74"/>
      <c r="I387" s="73"/>
      <c r="J387" s="74"/>
      <c r="K387" s="74"/>
      <c r="L387" s="74"/>
      <c r="M387" s="73"/>
      <c r="N387" s="73"/>
      <c r="O387" s="74"/>
      <c r="P387" s="74"/>
      <c r="Q387" s="74"/>
      <c r="R387" s="73"/>
      <c r="S387" s="74"/>
      <c r="T387" s="74"/>
      <c r="U387" s="74"/>
      <c r="V387" s="52"/>
      <c r="W387" s="52"/>
      <c r="X387" s="52"/>
      <c r="Y387" s="52"/>
      <c r="Z387" s="22"/>
      <c r="AA387" s="52"/>
      <c r="AB387" s="22"/>
      <c r="AC387" s="52"/>
      <c r="AD387" s="52"/>
      <c r="AE387" s="22"/>
      <c r="AF387" s="22"/>
      <c r="AG387" s="22"/>
      <c r="AH387" s="22"/>
      <c r="AI387" s="22"/>
      <c r="AJ387" s="52"/>
      <c r="AK387" s="22"/>
      <c r="AL387" s="22"/>
      <c r="AM387" s="22"/>
      <c r="AN387" s="22"/>
      <c r="AO387" s="22"/>
      <c r="AP387" s="22"/>
      <c r="AQ387" s="22"/>
      <c r="AR387" s="22"/>
      <c r="AS387" s="22"/>
      <c r="AT387" s="22"/>
      <c r="AU387" s="22"/>
      <c r="AV387" s="77"/>
      <c r="AW387" s="77"/>
      <c r="AX387" s="78"/>
      <c r="AY387" s="22"/>
      <c r="AZ387" s="22"/>
      <c r="BA387" s="22"/>
      <c r="BB387" s="22"/>
      <c r="BC387" s="22"/>
      <c r="BD387" s="22"/>
      <c r="BE387" s="22"/>
      <c r="BF387" s="22"/>
      <c r="BG387" s="22"/>
      <c r="BH387" s="22"/>
      <c r="BI387" s="22"/>
      <c r="BJ387" s="40"/>
      <c r="BK387" s="19"/>
      <c r="BL387" s="19"/>
      <c r="BM387" s="19"/>
      <c r="BN387" s="19"/>
      <c r="BO387" s="19"/>
      <c r="BP387" s="19"/>
      <c r="BQ387" s="19"/>
      <c r="BR387" s="19"/>
      <c r="BS387" s="19"/>
      <c r="BT387" s="19"/>
      <c r="BU387" s="19"/>
      <c r="BV387" s="19"/>
      <c r="BW387" s="19"/>
      <c r="BX387" s="19"/>
      <c r="BY387" s="19"/>
      <c r="BZ387" s="19"/>
      <c r="CA387" s="19"/>
      <c r="CB387" s="19"/>
      <c r="CC387" s="19"/>
      <c r="CD387" s="19"/>
      <c r="CE387" s="48"/>
      <c r="CF387" s="48"/>
      <c r="CG387" s="48"/>
      <c r="CH387" s="48"/>
      <c r="CI387" s="48"/>
      <c r="CJ387" s="48"/>
      <c r="CK387" s="48"/>
      <c r="CL387" s="48"/>
      <c r="CM387" s="48"/>
      <c r="CN387" s="48"/>
      <c r="CO387" s="48"/>
      <c r="CP387" s="48"/>
      <c r="CQ387" s="48"/>
      <c r="CR387" s="48"/>
      <c r="CS387" s="48"/>
      <c r="CT387" s="48"/>
      <c r="CU387" s="48"/>
      <c r="CV387" s="48"/>
      <c r="CW387" s="19"/>
      <c r="CX387" s="19"/>
      <c r="CY387" s="19"/>
      <c r="CZ387" s="19"/>
      <c r="DA387" s="21"/>
      <c r="DB387" s="21"/>
      <c r="DC387" s="79"/>
      <c r="DD387" s="79"/>
      <c r="DE387" s="79"/>
      <c r="DF387" s="79"/>
      <c r="DG387" s="79"/>
      <c r="DH387" s="51"/>
      <c r="DI387" s="39"/>
      <c r="DJ387" s="80"/>
      <c r="DK387" s="39"/>
      <c r="DL387" s="39"/>
      <c r="DM387" s="48"/>
      <c r="DN387" s="39"/>
      <c r="DO387" s="39"/>
      <c r="DP387" s="39"/>
      <c r="DQ387" s="39"/>
      <c r="DR387" s="39"/>
      <c r="DS387" s="39"/>
      <c r="DT387" s="39"/>
      <c r="DU387" s="19"/>
      <c r="DV387" s="40"/>
      <c r="DW387" s="40"/>
      <c r="DX387" s="46"/>
      <c r="DY387" s="21"/>
      <c r="DZ387" s="19"/>
      <c r="EA387" s="19"/>
      <c r="EB387" s="19"/>
      <c r="EC387" s="48"/>
      <c r="ED387" s="48"/>
      <c r="EE387" s="22"/>
      <c r="EF387" s="22"/>
      <c r="EG387" s="22"/>
      <c r="EH387" s="22"/>
      <c r="EI387" s="22"/>
      <c r="EJ387" s="22"/>
      <c r="EK387" s="40"/>
      <c r="EL387" s="19"/>
      <c r="EM387" s="19"/>
      <c r="EN387" s="146"/>
      <c r="EO387" s="146"/>
      <c r="EP387" s="146"/>
      <c r="EQ387" s="21"/>
      <c r="ER387" s="21"/>
      <c r="ES387" s="21"/>
      <c r="ET387" s="21"/>
      <c r="EU387" s="19"/>
      <c r="EV387" s="21"/>
      <c r="EW387" s="39"/>
      <c r="EX387" s="39"/>
      <c r="EY387" s="39"/>
      <c r="EZ387" s="39"/>
      <c r="FA387" s="39"/>
      <c r="FB387" s="39"/>
      <c r="FC387" s="39"/>
      <c r="FD387" s="39"/>
      <c r="FE387" s="39"/>
      <c r="FF387" s="39"/>
      <c r="FG387" s="39"/>
      <c r="FH387" s="39"/>
      <c r="FI387" s="39"/>
      <c r="FJ387" s="19"/>
      <c r="FK387" s="19"/>
      <c r="FL387" s="19"/>
      <c r="FM387" s="19"/>
      <c r="FN387" s="19"/>
      <c r="FO387" s="22">
        <v>1380.42</v>
      </c>
      <c r="FP387" s="22">
        <v>1405.69</v>
      </c>
      <c r="FQ387" s="22"/>
      <c r="FR387" s="22">
        <v>1656.5</v>
      </c>
      <c r="FS387" s="22">
        <v>1686.83</v>
      </c>
      <c r="FT387" s="22"/>
      <c r="FU387" s="40" t="s">
        <v>719</v>
      </c>
      <c r="FV387" s="19"/>
      <c r="FW387" s="19"/>
      <c r="FX387" s="19"/>
      <c r="FY387" s="19"/>
      <c r="FZ387" s="19"/>
      <c r="GA387" s="19"/>
      <c r="GB387" s="19"/>
      <c r="GC387" s="20"/>
      <c r="GD387" s="20"/>
      <c r="GE387" s="21"/>
      <c r="GF387" s="21"/>
      <c r="GG387" s="21"/>
      <c r="GH387" s="21"/>
      <c r="GI387" s="21"/>
      <c r="GJ387" s="21"/>
      <c r="GK387" s="21"/>
      <c r="GL387" s="21"/>
      <c r="GM387" s="19"/>
      <c r="GN387" s="19"/>
      <c r="GO387" s="22">
        <v>1435.64</v>
      </c>
      <c r="GP387" s="22">
        <v>1485.89</v>
      </c>
      <c r="GQ387" s="22"/>
      <c r="GR387" s="22">
        <v>1694.06</v>
      </c>
      <c r="GS387" s="22">
        <v>1753.35</v>
      </c>
      <c r="GT387" s="22"/>
      <c r="GU387" s="40" t="s">
        <v>719</v>
      </c>
      <c r="GV387" s="19"/>
      <c r="GW387" s="19"/>
      <c r="GX387" s="19"/>
      <c r="GY387" s="19"/>
      <c r="GZ387" s="23"/>
      <c r="HA387" s="22" t="s">
        <v>633</v>
      </c>
      <c r="HB387" s="22" t="s">
        <v>633</v>
      </c>
      <c r="HC387" s="22"/>
      <c r="HD387" s="22" t="s">
        <v>633</v>
      </c>
      <c r="HE387" s="22" t="s">
        <v>633</v>
      </c>
      <c r="HF387" s="22"/>
      <c r="HG387" s="233" t="s">
        <v>633</v>
      </c>
    </row>
    <row r="388" spans="2:215" ht="15.75">
      <c r="B388" s="10"/>
      <c r="C388" s="161" t="s">
        <v>620</v>
      </c>
      <c r="D388" s="73"/>
      <c r="E388" s="73"/>
      <c r="F388" s="74"/>
      <c r="G388" s="74"/>
      <c r="H388" s="74"/>
      <c r="I388" s="73"/>
      <c r="J388" s="74"/>
      <c r="K388" s="74"/>
      <c r="L388" s="74"/>
      <c r="M388" s="73"/>
      <c r="N388" s="73"/>
      <c r="O388" s="74"/>
      <c r="P388" s="74"/>
      <c r="Q388" s="74"/>
      <c r="R388" s="73"/>
      <c r="S388" s="74"/>
      <c r="T388" s="74"/>
      <c r="U388" s="74"/>
      <c r="V388" s="52"/>
      <c r="W388" s="52"/>
      <c r="X388" s="52"/>
      <c r="Y388" s="52"/>
      <c r="Z388" s="22"/>
      <c r="AA388" s="52"/>
      <c r="AB388" s="22"/>
      <c r="AC388" s="52"/>
      <c r="AD388" s="52"/>
      <c r="AE388" s="22"/>
      <c r="AF388" s="22"/>
      <c r="AG388" s="22"/>
      <c r="AH388" s="22"/>
      <c r="AI388" s="22"/>
      <c r="AJ388" s="52"/>
      <c r="AK388" s="22"/>
      <c r="AL388" s="22"/>
      <c r="AM388" s="22"/>
      <c r="AN388" s="22"/>
      <c r="AO388" s="22"/>
      <c r="AP388" s="22"/>
      <c r="AQ388" s="22"/>
      <c r="AR388" s="22"/>
      <c r="AS388" s="22"/>
      <c r="AT388" s="22"/>
      <c r="AU388" s="22"/>
      <c r="AV388" s="77"/>
      <c r="AW388" s="77"/>
      <c r="AX388" s="78"/>
      <c r="AY388" s="22"/>
      <c r="AZ388" s="22"/>
      <c r="BA388" s="22"/>
      <c r="BB388" s="22"/>
      <c r="BC388" s="22"/>
      <c r="BD388" s="22"/>
      <c r="BE388" s="22"/>
      <c r="BF388" s="22"/>
      <c r="BG388" s="22"/>
      <c r="BH388" s="22"/>
      <c r="BI388" s="22"/>
      <c r="BJ388" s="40"/>
      <c r="BK388" s="19"/>
      <c r="BL388" s="19"/>
      <c r="BM388" s="19"/>
      <c r="BN388" s="19"/>
      <c r="BO388" s="19"/>
      <c r="BP388" s="19"/>
      <c r="BQ388" s="19"/>
      <c r="BR388" s="19"/>
      <c r="BS388" s="19"/>
      <c r="BT388" s="19"/>
      <c r="BU388" s="19"/>
      <c r="BV388" s="19"/>
      <c r="BW388" s="19"/>
      <c r="BX388" s="19"/>
      <c r="BY388" s="19"/>
      <c r="BZ388" s="19"/>
      <c r="CA388" s="19"/>
      <c r="CB388" s="19"/>
      <c r="CC388" s="19"/>
      <c r="CD388" s="19"/>
      <c r="CE388" s="48"/>
      <c r="CF388" s="48"/>
      <c r="CG388" s="48"/>
      <c r="CH388" s="48"/>
      <c r="CI388" s="48"/>
      <c r="CJ388" s="48"/>
      <c r="CK388" s="48"/>
      <c r="CL388" s="48"/>
      <c r="CM388" s="48"/>
      <c r="CN388" s="48"/>
      <c r="CO388" s="48"/>
      <c r="CP388" s="48"/>
      <c r="CQ388" s="48"/>
      <c r="CR388" s="48"/>
      <c r="CS388" s="48"/>
      <c r="CT388" s="48"/>
      <c r="CU388" s="48"/>
      <c r="CV388" s="48"/>
      <c r="CW388" s="19"/>
      <c r="CX388" s="19"/>
      <c r="CY388" s="19"/>
      <c r="CZ388" s="19"/>
      <c r="DA388" s="21"/>
      <c r="DB388" s="21"/>
      <c r="DC388" s="79"/>
      <c r="DD388" s="79"/>
      <c r="DE388" s="79"/>
      <c r="DF388" s="79"/>
      <c r="DG388" s="79"/>
      <c r="DH388" s="51"/>
      <c r="DI388" s="39"/>
      <c r="DJ388" s="80"/>
      <c r="DK388" s="39"/>
      <c r="DL388" s="39"/>
      <c r="DM388" s="48"/>
      <c r="DN388" s="39"/>
      <c r="DO388" s="39"/>
      <c r="DP388" s="39"/>
      <c r="DQ388" s="39"/>
      <c r="DR388" s="39"/>
      <c r="DS388" s="39"/>
      <c r="DT388" s="39"/>
      <c r="DU388" s="19"/>
      <c r="DV388" s="40"/>
      <c r="DW388" s="40"/>
      <c r="DX388" s="46"/>
      <c r="DY388" s="21"/>
      <c r="DZ388" s="19"/>
      <c r="EA388" s="19"/>
      <c r="EB388" s="19"/>
      <c r="EC388" s="48"/>
      <c r="ED388" s="48"/>
      <c r="EE388" s="22"/>
      <c r="EF388" s="22"/>
      <c r="EG388" s="22"/>
      <c r="EH388" s="22"/>
      <c r="EI388" s="22"/>
      <c r="EJ388" s="22"/>
      <c r="EK388" s="40"/>
      <c r="EL388" s="19"/>
      <c r="EM388" s="19"/>
      <c r="EN388" s="146"/>
      <c r="EO388" s="146"/>
      <c r="EP388" s="146"/>
      <c r="EQ388" s="21"/>
      <c r="ER388" s="21"/>
      <c r="ES388" s="21"/>
      <c r="ET388" s="21"/>
      <c r="EU388" s="19"/>
      <c r="EV388" s="21"/>
      <c r="EW388" s="39"/>
      <c r="EX388" s="39"/>
      <c r="EY388" s="39"/>
      <c r="EZ388" s="39"/>
      <c r="FA388" s="39"/>
      <c r="FB388" s="39"/>
      <c r="FC388" s="39"/>
      <c r="FD388" s="39"/>
      <c r="FE388" s="39"/>
      <c r="FF388" s="39"/>
      <c r="FG388" s="39"/>
      <c r="FH388" s="39"/>
      <c r="FI388" s="39"/>
      <c r="FJ388" s="19"/>
      <c r="FK388" s="19"/>
      <c r="FL388" s="19"/>
      <c r="FM388" s="19"/>
      <c r="FN388" s="19"/>
      <c r="FO388" s="22">
        <v>117.45</v>
      </c>
      <c r="FP388" s="22">
        <v>119.51</v>
      </c>
      <c r="FQ388" s="22"/>
      <c r="FR388" s="22">
        <v>140.94</v>
      </c>
      <c r="FS388" s="22">
        <v>143.41</v>
      </c>
      <c r="FT388" s="22"/>
      <c r="FU388" s="40" t="s">
        <v>721</v>
      </c>
      <c r="FV388" s="19"/>
      <c r="FW388" s="19"/>
      <c r="FX388" s="19"/>
      <c r="FY388" s="19"/>
      <c r="FZ388" s="19"/>
      <c r="GA388" s="19"/>
      <c r="GB388" s="19"/>
      <c r="GC388" s="20"/>
      <c r="GD388" s="20"/>
      <c r="GE388" s="21"/>
      <c r="GF388" s="21"/>
      <c r="GG388" s="21"/>
      <c r="GH388" s="21"/>
      <c r="GI388" s="21"/>
      <c r="GJ388" s="21"/>
      <c r="GK388" s="21"/>
      <c r="GL388" s="21"/>
      <c r="GM388" s="19"/>
      <c r="GN388" s="19"/>
      <c r="GO388" s="22">
        <v>125.37</v>
      </c>
      <c r="GP388" s="22">
        <v>129.86000000000001</v>
      </c>
      <c r="GQ388" s="22"/>
      <c r="GR388" s="22">
        <v>147.94</v>
      </c>
      <c r="GS388" s="22">
        <v>153.22999999999999</v>
      </c>
      <c r="GT388" s="22"/>
      <c r="GU388" s="40" t="s">
        <v>721</v>
      </c>
      <c r="GV388" s="19"/>
      <c r="GW388" s="19"/>
      <c r="GX388" s="19"/>
      <c r="GY388" s="19"/>
      <c r="GZ388" s="23"/>
      <c r="HA388" s="22" t="s">
        <v>633</v>
      </c>
      <c r="HB388" s="22" t="s">
        <v>633</v>
      </c>
      <c r="HC388" s="22"/>
      <c r="HD388" s="22" t="s">
        <v>633</v>
      </c>
      <c r="HE388" s="22" t="s">
        <v>633</v>
      </c>
      <c r="HF388" s="22"/>
      <c r="HG388" s="233" t="s">
        <v>633</v>
      </c>
    </row>
    <row r="389" spans="2:215" ht="31.5">
      <c r="B389" s="10"/>
      <c r="C389" s="161" t="s">
        <v>621</v>
      </c>
      <c r="D389" s="73"/>
      <c r="E389" s="73"/>
      <c r="F389" s="74"/>
      <c r="G389" s="74"/>
      <c r="H389" s="74"/>
      <c r="I389" s="73"/>
      <c r="J389" s="74"/>
      <c r="K389" s="74"/>
      <c r="L389" s="74"/>
      <c r="M389" s="73"/>
      <c r="N389" s="73"/>
      <c r="O389" s="74"/>
      <c r="P389" s="74"/>
      <c r="Q389" s="74"/>
      <c r="R389" s="73"/>
      <c r="S389" s="74"/>
      <c r="T389" s="74"/>
      <c r="U389" s="74"/>
      <c r="V389" s="52"/>
      <c r="W389" s="52"/>
      <c r="X389" s="52"/>
      <c r="Y389" s="52"/>
      <c r="Z389" s="22"/>
      <c r="AA389" s="52"/>
      <c r="AB389" s="22"/>
      <c r="AC389" s="52"/>
      <c r="AD389" s="52"/>
      <c r="AE389" s="22"/>
      <c r="AF389" s="22"/>
      <c r="AG389" s="22"/>
      <c r="AH389" s="22"/>
      <c r="AI389" s="22"/>
      <c r="AJ389" s="52"/>
      <c r="AK389" s="22"/>
      <c r="AL389" s="22"/>
      <c r="AM389" s="22"/>
      <c r="AN389" s="22"/>
      <c r="AO389" s="22"/>
      <c r="AP389" s="22"/>
      <c r="AQ389" s="22"/>
      <c r="AR389" s="22"/>
      <c r="AS389" s="22"/>
      <c r="AT389" s="22"/>
      <c r="AU389" s="22"/>
      <c r="AV389" s="77"/>
      <c r="AW389" s="77"/>
      <c r="AX389" s="78"/>
      <c r="AY389" s="22"/>
      <c r="AZ389" s="22"/>
      <c r="BA389" s="22"/>
      <c r="BB389" s="22"/>
      <c r="BC389" s="22"/>
      <c r="BD389" s="22"/>
      <c r="BE389" s="22"/>
      <c r="BF389" s="22"/>
      <c r="BG389" s="22"/>
      <c r="BH389" s="22"/>
      <c r="BI389" s="22"/>
      <c r="BJ389" s="40"/>
      <c r="BK389" s="19"/>
      <c r="BL389" s="19"/>
      <c r="BM389" s="19"/>
      <c r="BN389" s="19"/>
      <c r="BO389" s="19"/>
      <c r="BP389" s="19"/>
      <c r="BQ389" s="19"/>
      <c r="BR389" s="19"/>
      <c r="BS389" s="19"/>
      <c r="BT389" s="19"/>
      <c r="BU389" s="19"/>
      <c r="BV389" s="19"/>
      <c r="BW389" s="19"/>
      <c r="BX389" s="19"/>
      <c r="BY389" s="19"/>
      <c r="BZ389" s="19"/>
      <c r="CA389" s="19"/>
      <c r="CB389" s="19"/>
      <c r="CC389" s="19"/>
      <c r="CD389" s="19"/>
      <c r="CE389" s="48"/>
      <c r="CF389" s="48"/>
      <c r="CG389" s="48"/>
      <c r="CH389" s="48"/>
      <c r="CI389" s="48"/>
      <c r="CJ389" s="48"/>
      <c r="CK389" s="48"/>
      <c r="CL389" s="48"/>
      <c r="CM389" s="48"/>
      <c r="CN389" s="48"/>
      <c r="CO389" s="48"/>
      <c r="CP389" s="48"/>
      <c r="CQ389" s="48"/>
      <c r="CR389" s="48"/>
      <c r="CS389" s="48"/>
      <c r="CT389" s="48"/>
      <c r="CU389" s="48"/>
      <c r="CV389" s="48"/>
      <c r="CW389" s="19"/>
      <c r="CX389" s="19"/>
      <c r="CY389" s="19"/>
      <c r="CZ389" s="19"/>
      <c r="DA389" s="21"/>
      <c r="DB389" s="21"/>
      <c r="DC389" s="79"/>
      <c r="DD389" s="79"/>
      <c r="DE389" s="79"/>
      <c r="DF389" s="79"/>
      <c r="DG389" s="79"/>
      <c r="DH389" s="51"/>
      <c r="DI389" s="39"/>
      <c r="DJ389" s="80"/>
      <c r="DK389" s="39"/>
      <c r="DL389" s="39"/>
      <c r="DM389" s="48"/>
      <c r="DN389" s="39"/>
      <c r="DO389" s="39"/>
      <c r="DP389" s="39"/>
      <c r="DQ389" s="39"/>
      <c r="DR389" s="39"/>
      <c r="DS389" s="39"/>
      <c r="DT389" s="39"/>
      <c r="DU389" s="19"/>
      <c r="DV389" s="40"/>
      <c r="DW389" s="40"/>
      <c r="DX389" s="46"/>
      <c r="DY389" s="21"/>
      <c r="DZ389" s="19"/>
      <c r="EA389" s="19"/>
      <c r="EB389" s="19"/>
      <c r="EC389" s="48"/>
      <c r="ED389" s="48"/>
      <c r="EE389" s="22"/>
      <c r="EF389" s="22"/>
      <c r="EG389" s="22"/>
      <c r="EH389" s="22"/>
      <c r="EI389" s="22"/>
      <c r="EJ389" s="22"/>
      <c r="EK389" s="40"/>
      <c r="EL389" s="19"/>
      <c r="EM389" s="19"/>
      <c r="EN389" s="146"/>
      <c r="EO389" s="146"/>
      <c r="EP389" s="146"/>
      <c r="EQ389" s="21"/>
      <c r="ER389" s="21"/>
      <c r="ES389" s="21"/>
      <c r="ET389" s="21"/>
      <c r="EU389" s="19"/>
      <c r="EV389" s="21"/>
      <c r="EW389" s="39"/>
      <c r="EX389" s="39"/>
      <c r="EY389" s="39"/>
      <c r="EZ389" s="39"/>
      <c r="FA389" s="39"/>
      <c r="FB389" s="39"/>
      <c r="FC389" s="39"/>
      <c r="FD389" s="39"/>
      <c r="FE389" s="39"/>
      <c r="FF389" s="39"/>
      <c r="FG389" s="39"/>
      <c r="FH389" s="39"/>
      <c r="FI389" s="39"/>
      <c r="FJ389" s="19"/>
      <c r="FK389" s="19"/>
      <c r="FL389" s="19"/>
      <c r="FM389" s="19"/>
      <c r="FN389" s="19"/>
      <c r="FO389" s="22">
        <v>1380.42</v>
      </c>
      <c r="FP389" s="22">
        <v>1404.56</v>
      </c>
      <c r="FQ389" s="22"/>
      <c r="FR389" s="22">
        <v>1656.5</v>
      </c>
      <c r="FS389" s="22">
        <v>1685.47</v>
      </c>
      <c r="FT389" s="22"/>
      <c r="FU389" s="242" t="s">
        <v>719</v>
      </c>
      <c r="FV389" s="19"/>
      <c r="FW389" s="19"/>
      <c r="FX389" s="19"/>
      <c r="FY389" s="19"/>
      <c r="FZ389" s="19"/>
      <c r="GA389" s="19"/>
      <c r="GB389" s="19"/>
      <c r="GC389" s="20"/>
      <c r="GD389" s="20"/>
      <c r="GE389" s="21"/>
      <c r="GF389" s="21"/>
      <c r="GG389" s="21"/>
      <c r="GH389" s="21"/>
      <c r="GI389" s="21"/>
      <c r="GJ389" s="21"/>
      <c r="GK389" s="21"/>
      <c r="GL389" s="21"/>
      <c r="GM389" s="19"/>
      <c r="GN389" s="19"/>
      <c r="GO389" s="22">
        <v>1435.64</v>
      </c>
      <c r="GP389" s="22">
        <v>1485.89</v>
      </c>
      <c r="GQ389" s="22"/>
      <c r="GR389" s="22">
        <v>1694.06</v>
      </c>
      <c r="GS389" s="22">
        <v>1753.35</v>
      </c>
      <c r="GT389" s="22"/>
      <c r="GU389" s="242" t="s">
        <v>719</v>
      </c>
      <c r="GV389" s="19"/>
      <c r="GW389" s="19"/>
      <c r="GX389" s="19"/>
      <c r="GY389" s="19"/>
      <c r="GZ389" s="23"/>
      <c r="HA389" s="22" t="s">
        <v>633</v>
      </c>
      <c r="HB389" s="22" t="s">
        <v>633</v>
      </c>
      <c r="HC389" s="22"/>
      <c r="HD389" s="22" t="s">
        <v>633</v>
      </c>
      <c r="HE389" s="22" t="s">
        <v>633</v>
      </c>
      <c r="HF389" s="22"/>
      <c r="HG389" s="233" t="s">
        <v>633</v>
      </c>
    </row>
    <row r="390" spans="2:215" ht="15.75">
      <c r="B390" s="10"/>
      <c r="C390" s="161" t="s">
        <v>622</v>
      </c>
      <c r="D390" s="73"/>
      <c r="E390" s="73"/>
      <c r="F390" s="74"/>
      <c r="G390" s="74"/>
      <c r="H390" s="74"/>
      <c r="I390" s="73"/>
      <c r="J390" s="74"/>
      <c r="K390" s="74"/>
      <c r="L390" s="74"/>
      <c r="M390" s="73"/>
      <c r="N390" s="73"/>
      <c r="O390" s="74"/>
      <c r="P390" s="74"/>
      <c r="Q390" s="74"/>
      <c r="R390" s="73"/>
      <c r="S390" s="74"/>
      <c r="T390" s="74"/>
      <c r="U390" s="74"/>
      <c r="V390" s="52"/>
      <c r="W390" s="52"/>
      <c r="X390" s="52"/>
      <c r="Y390" s="52"/>
      <c r="Z390" s="22"/>
      <c r="AA390" s="52"/>
      <c r="AB390" s="22"/>
      <c r="AC390" s="52"/>
      <c r="AD390" s="52"/>
      <c r="AE390" s="22"/>
      <c r="AF390" s="22"/>
      <c r="AG390" s="22"/>
      <c r="AH390" s="22"/>
      <c r="AI390" s="22"/>
      <c r="AJ390" s="52"/>
      <c r="AK390" s="22"/>
      <c r="AL390" s="22"/>
      <c r="AM390" s="22"/>
      <c r="AN390" s="22"/>
      <c r="AO390" s="22"/>
      <c r="AP390" s="22"/>
      <c r="AQ390" s="22"/>
      <c r="AR390" s="22"/>
      <c r="AS390" s="22"/>
      <c r="AT390" s="22"/>
      <c r="AU390" s="22"/>
      <c r="AV390" s="77"/>
      <c r="AW390" s="77"/>
      <c r="AX390" s="78"/>
      <c r="AY390" s="22"/>
      <c r="AZ390" s="22"/>
      <c r="BA390" s="22"/>
      <c r="BB390" s="22"/>
      <c r="BC390" s="22"/>
      <c r="BD390" s="22"/>
      <c r="BE390" s="22"/>
      <c r="BF390" s="22"/>
      <c r="BG390" s="22"/>
      <c r="BH390" s="22"/>
      <c r="BI390" s="22"/>
      <c r="BJ390" s="40"/>
      <c r="BK390" s="19"/>
      <c r="BL390" s="19"/>
      <c r="BM390" s="19"/>
      <c r="BN390" s="19"/>
      <c r="BO390" s="19"/>
      <c r="BP390" s="19"/>
      <c r="BQ390" s="19"/>
      <c r="BR390" s="19"/>
      <c r="BS390" s="19"/>
      <c r="BT390" s="19"/>
      <c r="BU390" s="19"/>
      <c r="BV390" s="19"/>
      <c r="BW390" s="19"/>
      <c r="BX390" s="19"/>
      <c r="BY390" s="19"/>
      <c r="BZ390" s="19"/>
      <c r="CA390" s="19"/>
      <c r="CB390" s="19"/>
      <c r="CC390" s="19"/>
      <c r="CD390" s="19"/>
      <c r="CE390" s="48"/>
      <c r="CF390" s="48"/>
      <c r="CG390" s="48"/>
      <c r="CH390" s="48"/>
      <c r="CI390" s="48"/>
      <c r="CJ390" s="48"/>
      <c r="CK390" s="48"/>
      <c r="CL390" s="48"/>
      <c r="CM390" s="48"/>
      <c r="CN390" s="48"/>
      <c r="CO390" s="48"/>
      <c r="CP390" s="48"/>
      <c r="CQ390" s="48"/>
      <c r="CR390" s="48"/>
      <c r="CS390" s="48"/>
      <c r="CT390" s="48"/>
      <c r="CU390" s="48"/>
      <c r="CV390" s="48"/>
      <c r="CW390" s="19"/>
      <c r="CX390" s="19"/>
      <c r="CY390" s="19"/>
      <c r="CZ390" s="19"/>
      <c r="DA390" s="21"/>
      <c r="DB390" s="21"/>
      <c r="DC390" s="79"/>
      <c r="DD390" s="79"/>
      <c r="DE390" s="79"/>
      <c r="DF390" s="79"/>
      <c r="DG390" s="79"/>
      <c r="DH390" s="51"/>
      <c r="DI390" s="39"/>
      <c r="DJ390" s="80"/>
      <c r="DK390" s="39"/>
      <c r="DL390" s="39"/>
      <c r="DM390" s="48"/>
      <c r="DN390" s="39"/>
      <c r="DO390" s="39"/>
      <c r="DP390" s="39"/>
      <c r="DQ390" s="39"/>
      <c r="DR390" s="39"/>
      <c r="DS390" s="39"/>
      <c r="DT390" s="39"/>
      <c r="DU390" s="19"/>
      <c r="DV390" s="40"/>
      <c r="DW390" s="40"/>
      <c r="DX390" s="46"/>
      <c r="DY390" s="21"/>
      <c r="DZ390" s="19"/>
      <c r="EA390" s="19"/>
      <c r="EB390" s="19"/>
      <c r="EC390" s="48"/>
      <c r="ED390" s="48"/>
      <c r="EE390" s="22"/>
      <c r="EF390" s="22"/>
      <c r="EG390" s="22"/>
      <c r="EH390" s="22"/>
      <c r="EI390" s="22"/>
      <c r="EJ390" s="22"/>
      <c r="EK390" s="40"/>
      <c r="EL390" s="19"/>
      <c r="EM390" s="19"/>
      <c r="EN390" s="146"/>
      <c r="EO390" s="146"/>
      <c r="EP390" s="146"/>
      <c r="EQ390" s="21"/>
      <c r="ER390" s="21"/>
      <c r="ES390" s="21"/>
      <c r="ET390" s="21"/>
      <c r="EU390" s="19"/>
      <c r="EV390" s="21"/>
      <c r="EW390" s="39"/>
      <c r="EX390" s="39"/>
      <c r="EY390" s="39"/>
      <c r="EZ390" s="39"/>
      <c r="FA390" s="39"/>
      <c r="FB390" s="39"/>
      <c r="FC390" s="39"/>
      <c r="FD390" s="39"/>
      <c r="FE390" s="39"/>
      <c r="FF390" s="39"/>
      <c r="FG390" s="39"/>
      <c r="FH390" s="39"/>
      <c r="FI390" s="39"/>
      <c r="FJ390" s="19"/>
      <c r="FK390" s="19"/>
      <c r="FL390" s="19"/>
      <c r="FM390" s="19"/>
      <c r="FN390" s="19"/>
      <c r="FO390" s="22">
        <v>1380.42</v>
      </c>
      <c r="FP390" s="22">
        <v>1409.45</v>
      </c>
      <c r="FQ390" s="22"/>
      <c r="FR390" s="22">
        <v>1656.5</v>
      </c>
      <c r="FS390" s="22">
        <v>1691.34</v>
      </c>
      <c r="FT390" s="22"/>
      <c r="FU390" s="242"/>
      <c r="FV390" s="19"/>
      <c r="FW390" s="19"/>
      <c r="FX390" s="19"/>
      <c r="FY390" s="19"/>
      <c r="FZ390" s="19"/>
      <c r="GA390" s="19"/>
      <c r="GB390" s="19"/>
      <c r="GC390" s="20"/>
      <c r="GD390" s="20"/>
      <c r="GE390" s="21"/>
      <c r="GF390" s="21"/>
      <c r="GG390" s="21"/>
      <c r="GH390" s="21"/>
      <c r="GI390" s="21"/>
      <c r="GJ390" s="21"/>
      <c r="GK390" s="21"/>
      <c r="GL390" s="21"/>
      <c r="GM390" s="19"/>
      <c r="GN390" s="19"/>
      <c r="GO390" s="22">
        <v>1435.64</v>
      </c>
      <c r="GP390" s="22">
        <v>1485.89</v>
      </c>
      <c r="GQ390" s="22"/>
      <c r="GR390" s="22">
        <v>1694.06</v>
      </c>
      <c r="GS390" s="22">
        <v>1753.35</v>
      </c>
      <c r="GT390" s="22"/>
      <c r="GU390" s="242"/>
      <c r="GV390" s="19"/>
      <c r="GW390" s="19"/>
      <c r="GX390" s="19"/>
      <c r="GY390" s="19"/>
      <c r="GZ390" s="23"/>
      <c r="HA390" s="22" t="s">
        <v>633</v>
      </c>
      <c r="HB390" s="22" t="s">
        <v>633</v>
      </c>
      <c r="HC390" s="22"/>
      <c r="HD390" s="22" t="s">
        <v>633</v>
      </c>
      <c r="HE390" s="22" t="s">
        <v>633</v>
      </c>
      <c r="HF390" s="22"/>
      <c r="HG390" s="233" t="s">
        <v>633</v>
      </c>
    </row>
    <row r="391" spans="2:215" ht="15.75">
      <c r="B391" s="10"/>
      <c r="C391" s="161" t="s">
        <v>623</v>
      </c>
      <c r="D391" s="73"/>
      <c r="E391" s="73"/>
      <c r="F391" s="74"/>
      <c r="G391" s="74"/>
      <c r="H391" s="74"/>
      <c r="I391" s="73"/>
      <c r="J391" s="74"/>
      <c r="K391" s="74"/>
      <c r="L391" s="74"/>
      <c r="M391" s="73"/>
      <c r="N391" s="73"/>
      <c r="O391" s="74"/>
      <c r="P391" s="74"/>
      <c r="Q391" s="74"/>
      <c r="R391" s="73"/>
      <c r="S391" s="74"/>
      <c r="T391" s="74"/>
      <c r="U391" s="74"/>
      <c r="V391" s="52"/>
      <c r="W391" s="52"/>
      <c r="X391" s="52"/>
      <c r="Y391" s="52"/>
      <c r="Z391" s="22"/>
      <c r="AA391" s="52"/>
      <c r="AB391" s="22"/>
      <c r="AC391" s="52"/>
      <c r="AD391" s="52"/>
      <c r="AE391" s="22"/>
      <c r="AF391" s="22"/>
      <c r="AG391" s="22"/>
      <c r="AH391" s="22"/>
      <c r="AI391" s="22"/>
      <c r="AJ391" s="52"/>
      <c r="AK391" s="22"/>
      <c r="AL391" s="22"/>
      <c r="AM391" s="22"/>
      <c r="AN391" s="22"/>
      <c r="AO391" s="22"/>
      <c r="AP391" s="22"/>
      <c r="AQ391" s="22"/>
      <c r="AR391" s="22"/>
      <c r="AS391" s="22"/>
      <c r="AT391" s="22"/>
      <c r="AU391" s="22"/>
      <c r="AV391" s="77"/>
      <c r="AW391" s="77"/>
      <c r="AX391" s="78"/>
      <c r="AY391" s="22"/>
      <c r="AZ391" s="22"/>
      <c r="BA391" s="22"/>
      <c r="BB391" s="22"/>
      <c r="BC391" s="22"/>
      <c r="BD391" s="22"/>
      <c r="BE391" s="22"/>
      <c r="BF391" s="22"/>
      <c r="BG391" s="22"/>
      <c r="BH391" s="22"/>
      <c r="BI391" s="22"/>
      <c r="BJ391" s="40"/>
      <c r="BK391" s="19"/>
      <c r="BL391" s="19"/>
      <c r="BM391" s="19"/>
      <c r="BN391" s="19"/>
      <c r="BO391" s="19"/>
      <c r="BP391" s="19"/>
      <c r="BQ391" s="19"/>
      <c r="BR391" s="19"/>
      <c r="BS391" s="19"/>
      <c r="BT391" s="19"/>
      <c r="BU391" s="19"/>
      <c r="BV391" s="19"/>
      <c r="BW391" s="19"/>
      <c r="BX391" s="19"/>
      <c r="BY391" s="19"/>
      <c r="BZ391" s="19"/>
      <c r="CA391" s="19"/>
      <c r="CB391" s="19"/>
      <c r="CC391" s="19"/>
      <c r="CD391" s="19"/>
      <c r="CE391" s="48"/>
      <c r="CF391" s="48"/>
      <c r="CG391" s="48"/>
      <c r="CH391" s="48"/>
      <c r="CI391" s="48"/>
      <c r="CJ391" s="48"/>
      <c r="CK391" s="48"/>
      <c r="CL391" s="48"/>
      <c r="CM391" s="48"/>
      <c r="CN391" s="48"/>
      <c r="CO391" s="48"/>
      <c r="CP391" s="48"/>
      <c r="CQ391" s="48"/>
      <c r="CR391" s="48"/>
      <c r="CS391" s="48"/>
      <c r="CT391" s="48"/>
      <c r="CU391" s="48"/>
      <c r="CV391" s="48"/>
      <c r="CW391" s="19"/>
      <c r="CX391" s="19"/>
      <c r="CY391" s="19"/>
      <c r="CZ391" s="19"/>
      <c r="DA391" s="21"/>
      <c r="DB391" s="21"/>
      <c r="DC391" s="79"/>
      <c r="DD391" s="79"/>
      <c r="DE391" s="79"/>
      <c r="DF391" s="79"/>
      <c r="DG391" s="79"/>
      <c r="DH391" s="51"/>
      <c r="DI391" s="39"/>
      <c r="DJ391" s="80"/>
      <c r="DK391" s="39"/>
      <c r="DL391" s="39"/>
      <c r="DM391" s="48"/>
      <c r="DN391" s="39"/>
      <c r="DO391" s="39"/>
      <c r="DP391" s="39"/>
      <c r="DQ391" s="39"/>
      <c r="DR391" s="39"/>
      <c r="DS391" s="39"/>
      <c r="DT391" s="39"/>
      <c r="DU391" s="19"/>
      <c r="DV391" s="40"/>
      <c r="DW391" s="40"/>
      <c r="DX391" s="46"/>
      <c r="DY391" s="21"/>
      <c r="DZ391" s="19"/>
      <c r="EA391" s="19"/>
      <c r="EB391" s="19"/>
      <c r="EC391" s="48"/>
      <c r="ED391" s="48"/>
      <c r="EE391" s="22"/>
      <c r="EF391" s="22"/>
      <c r="EG391" s="22"/>
      <c r="EH391" s="22"/>
      <c r="EI391" s="22"/>
      <c r="EJ391" s="22"/>
      <c r="EK391" s="40"/>
      <c r="EL391" s="19"/>
      <c r="EM391" s="19"/>
      <c r="EN391" s="146"/>
      <c r="EO391" s="146"/>
      <c r="EP391" s="146"/>
      <c r="EQ391" s="21"/>
      <c r="ER391" s="21"/>
      <c r="ES391" s="21"/>
      <c r="ET391" s="21"/>
      <c r="EU391" s="19"/>
      <c r="EV391" s="21"/>
      <c r="EW391" s="39"/>
      <c r="EX391" s="39"/>
      <c r="EY391" s="39"/>
      <c r="EZ391" s="39"/>
      <c r="FA391" s="39"/>
      <c r="FB391" s="39"/>
      <c r="FC391" s="39"/>
      <c r="FD391" s="39"/>
      <c r="FE391" s="39"/>
      <c r="FF391" s="39"/>
      <c r="FG391" s="39"/>
      <c r="FH391" s="39"/>
      <c r="FI391" s="39"/>
      <c r="FJ391" s="19"/>
      <c r="FK391" s="19"/>
      <c r="FL391" s="19"/>
      <c r="FM391" s="19"/>
      <c r="FN391" s="19"/>
      <c r="FO391" s="22">
        <v>117.47</v>
      </c>
      <c r="FP391" s="22">
        <v>119.77</v>
      </c>
      <c r="FQ391" s="22"/>
      <c r="FR391" s="22">
        <v>140.96</v>
      </c>
      <c r="FS391" s="22">
        <v>143.72</v>
      </c>
      <c r="FT391" s="22"/>
      <c r="FU391" s="40" t="s">
        <v>721</v>
      </c>
      <c r="FV391" s="19"/>
      <c r="FW391" s="19"/>
      <c r="FX391" s="19"/>
      <c r="FY391" s="19"/>
      <c r="FZ391" s="19"/>
      <c r="GA391" s="19"/>
      <c r="GB391" s="19"/>
      <c r="GC391" s="20"/>
      <c r="GD391" s="20"/>
      <c r="GE391" s="21"/>
      <c r="GF391" s="21"/>
      <c r="GG391" s="21"/>
      <c r="GH391" s="21"/>
      <c r="GI391" s="21"/>
      <c r="GJ391" s="21"/>
      <c r="GK391" s="21"/>
      <c r="GL391" s="21"/>
      <c r="GM391" s="19"/>
      <c r="GN391" s="19"/>
      <c r="GO391" s="22">
        <v>125.37</v>
      </c>
      <c r="GP391" s="22">
        <v>129.86000000000001</v>
      </c>
      <c r="GQ391" s="22"/>
      <c r="GR391" s="22">
        <v>147.94</v>
      </c>
      <c r="GS391" s="22">
        <v>153.22999999999999</v>
      </c>
      <c r="GT391" s="22"/>
      <c r="GU391" s="40" t="s">
        <v>721</v>
      </c>
      <c r="GV391" s="19"/>
      <c r="GW391" s="19"/>
      <c r="GX391" s="19"/>
      <c r="GY391" s="19"/>
      <c r="GZ391" s="23"/>
      <c r="HA391" s="22" t="s">
        <v>633</v>
      </c>
      <c r="HB391" s="22" t="s">
        <v>633</v>
      </c>
      <c r="HC391" s="22"/>
      <c r="HD391" s="22" t="s">
        <v>633</v>
      </c>
      <c r="HE391" s="22" t="s">
        <v>633</v>
      </c>
      <c r="HF391" s="22"/>
      <c r="HG391" s="233" t="s">
        <v>633</v>
      </c>
    </row>
    <row r="392" spans="2:215" ht="15.75">
      <c r="B392" s="10" t="s">
        <v>500</v>
      </c>
      <c r="C392" s="174" t="s">
        <v>501</v>
      </c>
      <c r="D392" s="46"/>
      <c r="E392" s="46"/>
      <c r="F392" s="46"/>
      <c r="G392" s="46"/>
      <c r="H392" s="46"/>
      <c r="I392" s="46"/>
      <c r="J392" s="46"/>
      <c r="K392" s="46"/>
      <c r="L392" s="46"/>
      <c r="M392" s="73">
        <f t="shared" ref="M392:M403" si="1500">+N392+R392</f>
        <v>0</v>
      </c>
      <c r="N392" s="73">
        <f t="shared" ref="N392:N403" si="1501">+E392</f>
        <v>0</v>
      </c>
      <c r="O392" s="46"/>
      <c r="P392" s="46"/>
      <c r="Q392" s="46"/>
      <c r="R392" s="73">
        <f t="shared" ref="R392:R403" si="1502">+I392</f>
        <v>0</v>
      </c>
      <c r="S392" s="46"/>
      <c r="T392" s="46"/>
      <c r="U392" s="46"/>
      <c r="V392" s="52"/>
      <c r="W392" s="52"/>
      <c r="X392" s="52">
        <f t="shared" ref="X392" si="1503">+IF(V392=0,,W392/V392*100)</f>
        <v>0</v>
      </c>
      <c r="Y392" s="52"/>
      <c r="Z392" s="22">
        <f t="shared" si="1331"/>
        <v>0</v>
      </c>
      <c r="AA392" s="52"/>
      <c r="AB392" s="22">
        <f t="shared" si="1332"/>
        <v>0</v>
      </c>
      <c r="AC392" s="22"/>
      <c r="AD392" s="22"/>
      <c r="AE392" s="22">
        <f t="shared" si="1460"/>
        <v>0</v>
      </c>
      <c r="AF392" s="22"/>
      <c r="AG392" s="22">
        <f t="shared" ref="AG392:AG403" si="1504">+IF(AD392=0,,AF392/AD392*100)</f>
        <v>0</v>
      </c>
      <c r="AH392" s="52"/>
      <c r="AI392" s="52"/>
      <c r="AJ392" s="52">
        <f t="shared" si="1334"/>
        <v>0</v>
      </c>
      <c r="AK392" s="52"/>
      <c r="AL392" s="22">
        <f t="shared" si="1335"/>
        <v>0</v>
      </c>
      <c r="AM392" s="52"/>
      <c r="AN392" s="22">
        <f t="shared" si="1336"/>
        <v>0</v>
      </c>
      <c r="AO392" s="22">
        <f t="shared" ref="AO392" si="1505">+IF(V392=0,,AA392/V392*100)</f>
        <v>0</v>
      </c>
      <c r="AP392" s="22">
        <f t="shared" si="1338"/>
        <v>0</v>
      </c>
      <c r="AQ392" s="22"/>
      <c r="AR392" s="22"/>
      <c r="AS392" s="22">
        <f t="shared" si="1461"/>
        <v>0</v>
      </c>
      <c r="AT392" s="22"/>
      <c r="AU392" s="22">
        <f t="shared" si="1459"/>
        <v>0</v>
      </c>
      <c r="AV392" s="77"/>
      <c r="AW392" s="77">
        <f>+CY392/$CY$375*100</f>
        <v>0</v>
      </c>
      <c r="AX392" s="78"/>
      <c r="AY392" s="22">
        <f t="shared" si="1462"/>
        <v>0</v>
      </c>
      <c r="AZ392" s="22"/>
      <c r="BA392" s="22"/>
      <c r="BB392" s="22"/>
      <c r="BC392" s="22"/>
      <c r="BD392" s="22"/>
      <c r="BE392" s="22">
        <f t="shared" si="1463"/>
        <v>0</v>
      </c>
      <c r="BF392" s="22"/>
      <c r="BG392" s="22"/>
      <c r="BH392" s="22">
        <f t="shared" si="1464"/>
        <v>0</v>
      </c>
      <c r="BI392" s="22"/>
      <c r="BJ392" s="40"/>
      <c r="BK392" s="19">
        <f t="shared" si="1465"/>
        <v>0</v>
      </c>
      <c r="BL392" s="19">
        <f t="shared" ref="BL392" si="1506">+E392*AI392/1.18/1000</f>
        <v>0</v>
      </c>
      <c r="BM392" s="19">
        <f t="shared" ref="BM392" si="1507">+(W392-ROUND(AI392/1.18,2))*E392/1000</f>
        <v>0</v>
      </c>
      <c r="BN392" s="19">
        <f t="shared" ref="BN392" si="1508">+W392*I392/1000</f>
        <v>0</v>
      </c>
      <c r="BO392" s="19">
        <f t="shared" si="1466"/>
        <v>0</v>
      </c>
      <c r="BP392" s="19">
        <f t="shared" ref="BP392" si="1509">+AK392/1.18*E392/1000</f>
        <v>0</v>
      </c>
      <c r="BQ392" s="19">
        <f t="shared" ref="BQ392" si="1510">+(Y392-ROUND(AK392/1.18,2))*E392/1000</f>
        <v>0</v>
      </c>
      <c r="BR392" s="19">
        <f t="shared" ref="BR392" si="1511">+Y392*I392/1000</f>
        <v>0</v>
      </c>
      <c r="BS392" s="19">
        <f t="shared" si="1467"/>
        <v>0</v>
      </c>
      <c r="BT392" s="19">
        <f t="shared" ref="BT392" si="1512">+AM392/1.18*E392/1000</f>
        <v>0</v>
      </c>
      <c r="BU392" s="19">
        <f t="shared" ref="BU392" si="1513">+(AA392-ROUND(AM392/1.18,2))*E392/1000</f>
        <v>0</v>
      </c>
      <c r="BV392" s="19">
        <f t="shared" ref="BV392" si="1514">+AA392*I392/1000</f>
        <v>0</v>
      </c>
      <c r="BW392" s="19">
        <f t="shared" ref="BW392:BW403" si="1515">+BX392+BY392+BZ392</f>
        <v>0</v>
      </c>
      <c r="BX392" s="19">
        <f t="shared" ref="BX392" si="1516">+((AQ392/1.18*N392/1000)+(AR392/1.18*N392/1000))/2</f>
        <v>0</v>
      </c>
      <c r="BY392" s="19"/>
      <c r="BZ392" s="19">
        <f t="shared" ref="BZ392" si="1517">+((AC392*R392/1000)+(R392*AD392/1000))/2</f>
        <v>0</v>
      </c>
      <c r="CA392" s="19">
        <f t="shared" ref="CA392:CA403" si="1518">+CB392+CC392+CD392</f>
        <v>0</v>
      </c>
      <c r="CB392" s="19">
        <f t="shared" ref="CB392" si="1519">+AT392/1.18*N392/1000</f>
        <v>0</v>
      </c>
      <c r="CC392" s="19"/>
      <c r="CD392" s="19">
        <f t="shared" ref="CD392" si="1520">+AF392*R392/1000</f>
        <v>0</v>
      </c>
      <c r="CE392" s="48">
        <f t="shared" ref="CE392" si="1521">+IF(R392=0,,BN392/R392*1000)</f>
        <v>0</v>
      </c>
      <c r="CF392" s="48">
        <f t="shared" ref="CF392" si="1522">+IF(I392=0,,BR392/I392*1000)</f>
        <v>0</v>
      </c>
      <c r="CG392" s="48">
        <f t="shared" ref="CG392" si="1523">+IF(I392=0,,BV392/I392*1000)</f>
        <v>0</v>
      </c>
      <c r="CH392" s="48">
        <f t="shared" ref="CH392" si="1524">+IF(E392=0,,BL392/E392*1000*1.18)</f>
        <v>0</v>
      </c>
      <c r="CI392" s="48">
        <f t="shared" ref="CI392" si="1525">+IF(E392=0,,BP392/E392*1.18*1000)</f>
        <v>0</v>
      </c>
      <c r="CJ392" s="48">
        <f t="shared" ref="CJ392" si="1526">+IF(E392=0,,BT392/E392*1.18*1000)</f>
        <v>0</v>
      </c>
      <c r="CK392" s="48">
        <f t="shared" ref="CK392" si="1527">+IF(D392=0,,BK392/D392*1000)</f>
        <v>0</v>
      </c>
      <c r="CL392" s="48">
        <f t="shared" ref="CL392" si="1528">+IF(D392=0,,BO392/D392*1000)</f>
        <v>0</v>
      </c>
      <c r="CM392" s="48">
        <f t="shared" ref="CM392" si="1529">+IF(D392=0,,BS392/D392*1000)</f>
        <v>0</v>
      </c>
      <c r="CN392" s="48">
        <f t="shared" ref="CN392" si="1530">+IF((D392+D392+D392)=0,,(BK392+BO392+BS392)/(D392+D392+D392))*1000</f>
        <v>0</v>
      </c>
      <c r="CO392" s="48">
        <f t="shared" ref="CO392" si="1531">+IF(R392=0,,BZ392/R392*1000)</f>
        <v>0</v>
      </c>
      <c r="CP392" s="48">
        <f t="shared" ref="CP392" si="1532">+IF(R392=0,,CD392/R392*1000)</f>
        <v>0</v>
      </c>
      <c r="CQ392" s="48">
        <f t="shared" ref="CQ392" si="1533">+IF(N392=0,,BX392/N392*1.18*1000)</f>
        <v>0</v>
      </c>
      <c r="CR392" s="48">
        <f t="shared" ref="CR392" si="1534">+IF(N392=0,,CB392/N392*1.18*1000)</f>
        <v>0</v>
      </c>
      <c r="CS392" s="48">
        <f t="shared" ref="CS392" si="1535">+IF(M392=0,,BW392/M392*1000)</f>
        <v>0</v>
      </c>
      <c r="CT392" s="48">
        <f t="shared" ref="CT392" si="1536">+IF(M392=0,,CA392/M392*1000)</f>
        <v>0</v>
      </c>
      <c r="CU392" s="48">
        <f t="shared" ref="CU392" si="1537">+IF((M392+M392)=0,,(CA392+BW392)/(M392+M392))*1000</f>
        <v>0</v>
      </c>
      <c r="CV392" s="48">
        <f t="shared" si="1424"/>
        <v>0</v>
      </c>
      <c r="CW392" s="19">
        <f t="shared" ref="CW392" si="1538">+((AI392*F392)/1.18+(G392*AK392)/1.18+(H392*AM392)/1.18)/1000</f>
        <v>0</v>
      </c>
      <c r="CX392" s="19">
        <f t="shared" ref="CX392" si="1539">+((W392*F392)+(Y392*G392)+(AA392*H392))/1000</f>
        <v>0</v>
      </c>
      <c r="CY392" s="19">
        <f t="shared" ref="CY392" si="1540">+((AQ392*O392)/1.18+(Q392*AT392)/1.18+(AR392*P392)/1.18)/1000</f>
        <v>0</v>
      </c>
      <c r="CZ392" s="19">
        <f t="shared" ref="CZ392" si="1541">+((AC392*O392)+(AF392*Q392)+(AD392*P392))/1000</f>
        <v>0</v>
      </c>
      <c r="DA392" s="21">
        <f t="shared" ref="DA392:DA403" si="1542">+IF(CX392=0,,CW392/CX392*100)</f>
        <v>0</v>
      </c>
      <c r="DB392" s="21">
        <f t="shared" ref="DB392:DB403" si="1543">+IF(CZ392=0,,CY392/CZ392*100)</f>
        <v>0</v>
      </c>
      <c r="DC392" s="79">
        <f t="shared" si="1425"/>
        <v>0</v>
      </c>
      <c r="DD392" s="79">
        <f t="shared" si="1425"/>
        <v>0</v>
      </c>
      <c r="DE392" s="79">
        <f t="shared" ref="DE392:DF392" si="1544">+(O392+S392)*AC392/1000</f>
        <v>0</v>
      </c>
      <c r="DF392" s="79">
        <f t="shared" si="1544"/>
        <v>0</v>
      </c>
      <c r="DG392" s="79">
        <f t="shared" ref="DG392" si="1545">+AF392*(Q392+U392)/1000</f>
        <v>0</v>
      </c>
      <c r="DH392" s="51">
        <f t="shared" si="1402"/>
        <v>0</v>
      </c>
      <c r="DI392" s="39"/>
      <c r="DJ392" s="80">
        <f t="shared" ref="DJ392" si="1546">+(F392+J392)*W392/1000</f>
        <v>0</v>
      </c>
      <c r="DK392" s="39">
        <f t="shared" ref="DK392" si="1547">+Y392*(G392+K392)/1000</f>
        <v>0</v>
      </c>
      <c r="DL392" s="39">
        <f t="shared" ref="DL392" si="1548">+(H392+L392)*AA392/1000</f>
        <v>0</v>
      </c>
      <c r="DM392" s="48">
        <f>+AT392-'[2]тарифы (12-13) население 15%'!AP498</f>
        <v>0</v>
      </c>
      <c r="DN392" s="39"/>
      <c r="DO392" s="39"/>
      <c r="DP392" s="39"/>
      <c r="DQ392" s="39"/>
      <c r="DR392" s="39"/>
      <c r="DS392" s="39"/>
      <c r="DT392" s="39"/>
      <c r="DU392" s="19">
        <f t="shared" si="1490"/>
        <v>0</v>
      </c>
      <c r="DV392" s="40">
        <f t="shared" ref="DV392:DV403" si="1549">+(BG392*AZ392)/1.18</f>
        <v>0</v>
      </c>
      <c r="DW392" s="40">
        <f t="shared" ref="DW392:DW403" si="1550">+BD392*AZ392</f>
        <v>0</v>
      </c>
      <c r="DX392" s="46"/>
      <c r="DY392" s="21">
        <f t="shared" si="1491"/>
        <v>0</v>
      </c>
      <c r="DZ392" s="19">
        <f t="shared" si="1492"/>
        <v>0</v>
      </c>
      <c r="EA392" s="19">
        <f t="shared" si="1493"/>
        <v>0</v>
      </c>
      <c r="EB392" s="19"/>
      <c r="EC392" s="48"/>
      <c r="ED392" s="48"/>
      <c r="EE392" s="22"/>
      <c r="EF392" s="22"/>
      <c r="EG392" s="22">
        <f t="shared" si="1494"/>
        <v>0</v>
      </c>
      <c r="EH392" s="22"/>
      <c r="EI392" s="22"/>
      <c r="EJ392" s="22">
        <f t="shared" si="1495"/>
        <v>0</v>
      </c>
      <c r="EK392" s="40"/>
      <c r="EL392" s="19"/>
      <c r="EM392" s="19"/>
      <c r="EN392" s="146">
        <f t="shared" si="1439"/>
        <v>0</v>
      </c>
      <c r="EO392" s="146">
        <f t="shared" si="1440"/>
        <v>0</v>
      </c>
      <c r="EP392" s="146"/>
      <c r="EQ392" s="21">
        <f t="shared" si="1496"/>
        <v>0</v>
      </c>
      <c r="ER392" s="21"/>
      <c r="ES392" s="21">
        <f t="shared" si="1441"/>
        <v>0</v>
      </c>
      <c r="ET392" s="21"/>
      <c r="EU392" s="19">
        <f t="shared" si="1429"/>
        <v>0</v>
      </c>
      <c r="EV392" s="21"/>
      <c r="EW392" s="39"/>
      <c r="EX392" s="39">
        <f t="shared" si="1497"/>
        <v>0</v>
      </c>
      <c r="EY392" s="39">
        <f t="shared" si="1499"/>
        <v>0</v>
      </c>
      <c r="EZ392" s="39"/>
      <c r="FA392" s="39"/>
      <c r="FB392" s="39"/>
      <c r="FC392" s="39"/>
      <c r="FD392" s="39"/>
      <c r="FE392" s="39"/>
      <c r="FF392" s="39"/>
      <c r="FG392" s="39"/>
      <c r="FH392" s="39"/>
      <c r="FI392" s="39"/>
      <c r="FJ392" s="19">
        <f t="shared" si="1442"/>
        <v>0</v>
      </c>
      <c r="FK392" s="19">
        <f t="shared" si="1443"/>
        <v>0</v>
      </c>
      <c r="FL392" s="19">
        <f t="shared" si="1430"/>
        <v>0</v>
      </c>
      <c r="FM392" s="19"/>
      <c r="FN392" s="19"/>
      <c r="FO392" s="22"/>
      <c r="FP392" s="22"/>
      <c r="FQ392" s="22"/>
      <c r="FR392" s="22"/>
      <c r="FS392" s="22"/>
      <c r="FT392" s="22"/>
      <c r="FU392" s="40"/>
      <c r="FV392" s="19"/>
      <c r="FW392" s="19"/>
      <c r="FX392" s="19"/>
      <c r="FY392" s="19"/>
      <c r="FZ392" s="19"/>
      <c r="GA392" s="19"/>
      <c r="GB392" s="19"/>
      <c r="GC392" s="20"/>
      <c r="GD392" s="20"/>
      <c r="GE392" s="21"/>
      <c r="GF392" s="21"/>
      <c r="GG392" s="21"/>
      <c r="GH392" s="21"/>
      <c r="GI392" s="21"/>
      <c r="GJ392" s="21"/>
      <c r="GK392" s="21"/>
      <c r="GL392" s="21"/>
      <c r="GM392" s="19"/>
      <c r="GN392" s="19"/>
      <c r="GO392" s="22"/>
      <c r="GP392" s="22"/>
      <c r="GQ392" s="22"/>
      <c r="GR392" s="22"/>
      <c r="GS392" s="22"/>
      <c r="GT392" s="22"/>
      <c r="GU392" s="43"/>
      <c r="GV392" s="19"/>
      <c r="GW392" s="19"/>
      <c r="GX392" s="19"/>
      <c r="GY392" s="19"/>
      <c r="GZ392" s="23"/>
      <c r="HA392" s="22"/>
      <c r="HB392" s="22"/>
      <c r="HC392" s="22"/>
      <c r="HD392" s="22"/>
      <c r="HE392" s="22"/>
      <c r="HF392" s="22"/>
      <c r="HG392" s="233"/>
    </row>
    <row r="393" spans="2:215" ht="15.75">
      <c r="B393" s="10"/>
      <c r="C393" s="184" t="s">
        <v>209</v>
      </c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73"/>
      <c r="O393" s="74"/>
      <c r="P393" s="74"/>
      <c r="Q393" s="74"/>
      <c r="R393" s="73"/>
      <c r="S393" s="74"/>
      <c r="T393" s="74"/>
      <c r="U393" s="74"/>
      <c r="V393" s="22"/>
      <c r="W393" s="22"/>
      <c r="X393" s="52"/>
      <c r="Y393" s="22"/>
      <c r="Z393" s="22"/>
      <c r="AA393" s="22"/>
      <c r="AB393" s="22"/>
      <c r="AC393" s="22"/>
      <c r="AD393" s="22"/>
      <c r="AE393" s="22"/>
      <c r="AF393" s="22"/>
      <c r="AG393" s="22"/>
      <c r="AH393" s="52"/>
      <c r="AI393" s="52"/>
      <c r="AJ393" s="52"/>
      <c r="AK393" s="52"/>
      <c r="AL393" s="22"/>
      <c r="AM393" s="52"/>
      <c r="AN393" s="22"/>
      <c r="AO393" s="22"/>
      <c r="AP393" s="22"/>
      <c r="AQ393" s="22"/>
      <c r="AR393" s="22"/>
      <c r="AS393" s="22"/>
      <c r="AT393" s="22"/>
      <c r="AU393" s="22"/>
      <c r="AV393" s="77"/>
      <c r="AW393" s="77"/>
      <c r="AX393" s="78"/>
      <c r="AY393" s="22"/>
      <c r="AZ393" s="22"/>
      <c r="BA393" s="22"/>
      <c r="BB393" s="22"/>
      <c r="BC393" s="22"/>
      <c r="BD393" s="22"/>
      <c r="BE393" s="22"/>
      <c r="BF393" s="22"/>
      <c r="BG393" s="22"/>
      <c r="BH393" s="22"/>
      <c r="BI393" s="22"/>
      <c r="BJ393" s="240"/>
      <c r="BK393" s="19"/>
      <c r="BL393" s="19"/>
      <c r="BM393" s="19"/>
      <c r="BN393" s="19"/>
      <c r="BO393" s="19"/>
      <c r="BP393" s="19"/>
      <c r="BQ393" s="19"/>
      <c r="BR393" s="19"/>
      <c r="BS393" s="19"/>
      <c r="BT393" s="19"/>
      <c r="BU393" s="19"/>
      <c r="BV393" s="19"/>
      <c r="BW393" s="19"/>
      <c r="BX393" s="19"/>
      <c r="BY393" s="19"/>
      <c r="BZ393" s="19"/>
      <c r="CA393" s="19"/>
      <c r="CB393" s="19"/>
      <c r="CC393" s="19"/>
      <c r="CD393" s="19"/>
      <c r="CE393" s="48"/>
      <c r="CF393" s="48"/>
      <c r="CG393" s="48"/>
      <c r="CH393" s="48"/>
      <c r="CI393" s="48"/>
      <c r="CJ393" s="48"/>
      <c r="CK393" s="48"/>
      <c r="CL393" s="48"/>
      <c r="CM393" s="48"/>
      <c r="CN393" s="48"/>
      <c r="CO393" s="48"/>
      <c r="CP393" s="48"/>
      <c r="CQ393" s="48"/>
      <c r="CR393" s="48"/>
      <c r="CS393" s="48"/>
      <c r="CT393" s="48"/>
      <c r="CU393" s="48"/>
      <c r="CV393" s="48"/>
      <c r="CW393" s="19"/>
      <c r="CX393" s="19"/>
      <c r="CY393" s="19"/>
      <c r="CZ393" s="19"/>
      <c r="DA393" s="21"/>
      <c r="DB393" s="21"/>
      <c r="DC393" s="79"/>
      <c r="DD393" s="79"/>
      <c r="DE393" s="79"/>
      <c r="DF393" s="79"/>
      <c r="DG393" s="79"/>
      <c r="DH393" s="51"/>
      <c r="DI393" s="39"/>
      <c r="DJ393" s="80"/>
      <c r="DK393" s="39"/>
      <c r="DL393" s="39"/>
      <c r="DM393" s="48"/>
      <c r="DN393" s="39"/>
      <c r="DO393" s="39"/>
      <c r="DP393" s="39"/>
      <c r="DQ393" s="39"/>
      <c r="DR393" s="39"/>
      <c r="DS393" s="39"/>
      <c r="DT393" s="39"/>
      <c r="DU393" s="19"/>
      <c r="DV393" s="40"/>
      <c r="DW393" s="40"/>
      <c r="DX393" s="46"/>
      <c r="DY393" s="21"/>
      <c r="DZ393" s="19"/>
      <c r="EA393" s="19"/>
      <c r="EB393" s="19"/>
      <c r="EC393" s="48"/>
      <c r="ED393" s="48"/>
      <c r="EE393" s="22">
        <v>3.63</v>
      </c>
      <c r="EF393" s="22">
        <v>3.77</v>
      </c>
      <c r="EG393" s="22">
        <f t="shared" si="1494"/>
        <v>103.85674931129476</v>
      </c>
      <c r="EH393" s="22"/>
      <c r="EI393" s="22"/>
      <c r="EJ393" s="22"/>
      <c r="EK393" s="240"/>
      <c r="EL393" s="19">
        <v>1450</v>
      </c>
      <c r="EM393" s="19"/>
      <c r="EN393" s="146">
        <f t="shared" si="1439"/>
        <v>0</v>
      </c>
      <c r="EO393" s="146">
        <f t="shared" si="1440"/>
        <v>0</v>
      </c>
      <c r="EP393" s="146"/>
      <c r="EQ393" s="21">
        <f t="shared" si="1496"/>
        <v>0</v>
      </c>
      <c r="ER393" s="21"/>
      <c r="ES393" s="21">
        <f t="shared" si="1441"/>
        <v>5263.5</v>
      </c>
      <c r="ET393" s="21"/>
      <c r="EU393" s="19">
        <f t="shared" si="1429"/>
        <v>5466.5</v>
      </c>
      <c r="EV393" s="21"/>
      <c r="EW393" s="39"/>
      <c r="EX393" s="39">
        <f t="shared" si="1497"/>
        <v>0</v>
      </c>
      <c r="EY393" s="39">
        <f t="shared" si="1499"/>
        <v>0</v>
      </c>
      <c r="EZ393" s="39"/>
      <c r="FA393" s="39"/>
      <c r="FB393" s="39"/>
      <c r="FC393" s="39"/>
      <c r="FD393" s="39"/>
      <c r="FE393" s="39"/>
      <c r="FF393" s="39"/>
      <c r="FG393" s="39"/>
      <c r="FH393" s="39"/>
      <c r="FI393" s="39"/>
      <c r="FJ393" s="19">
        <f t="shared" si="1442"/>
        <v>0</v>
      </c>
      <c r="FK393" s="19">
        <f t="shared" si="1443"/>
        <v>0</v>
      </c>
      <c r="FL393" s="19">
        <f t="shared" si="1430"/>
        <v>0</v>
      </c>
      <c r="FM393" s="19">
        <v>1382.7</v>
      </c>
      <c r="FN393" s="19"/>
      <c r="FO393" s="22">
        <v>4.29</v>
      </c>
      <c r="FP393" s="22">
        <v>4.37</v>
      </c>
      <c r="FQ393" s="22"/>
      <c r="FR393" s="22" t="s">
        <v>633</v>
      </c>
      <c r="FS393" s="22" t="s">
        <v>633</v>
      </c>
      <c r="FT393" s="22"/>
      <c r="FU393" s="240" t="s">
        <v>711</v>
      </c>
      <c r="FV393" s="19"/>
      <c r="FW393" s="19"/>
      <c r="FX393" s="19"/>
      <c r="FY393" s="19"/>
      <c r="FZ393" s="19"/>
      <c r="GA393" s="19"/>
      <c r="GB393" s="19"/>
      <c r="GC393" s="20"/>
      <c r="GD393" s="20"/>
      <c r="GE393" s="21"/>
      <c r="GF393" s="21"/>
      <c r="GG393" s="21"/>
      <c r="GH393" s="21"/>
      <c r="GI393" s="21"/>
      <c r="GJ393" s="21"/>
      <c r="GK393" s="21"/>
      <c r="GL393" s="21"/>
      <c r="GM393" s="19"/>
      <c r="GN393" s="19"/>
      <c r="GO393" s="22">
        <v>4.37</v>
      </c>
      <c r="GP393" s="22">
        <v>4.45</v>
      </c>
      <c r="GQ393" s="22"/>
      <c r="GR393" s="22" t="s">
        <v>633</v>
      </c>
      <c r="GS393" s="22" t="s">
        <v>633</v>
      </c>
      <c r="GT393" s="22"/>
      <c r="GU393" s="240" t="s">
        <v>711</v>
      </c>
      <c r="GV393" s="19"/>
      <c r="GW393" s="19"/>
      <c r="GX393" s="19"/>
      <c r="GY393" s="19"/>
      <c r="GZ393" s="23"/>
      <c r="HA393" s="22">
        <v>4.45</v>
      </c>
      <c r="HB393" s="22">
        <v>4.51</v>
      </c>
      <c r="HC393" s="22"/>
      <c r="HD393" s="22" t="s">
        <v>633</v>
      </c>
      <c r="HE393" s="22" t="s">
        <v>633</v>
      </c>
      <c r="HF393" s="22"/>
      <c r="HG393" s="240" t="s">
        <v>711</v>
      </c>
    </row>
    <row r="394" spans="2:215" ht="15.75">
      <c r="B394" s="10"/>
      <c r="C394" s="184" t="s">
        <v>249</v>
      </c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73"/>
      <c r="O394" s="74"/>
      <c r="P394" s="74"/>
      <c r="Q394" s="74"/>
      <c r="R394" s="73"/>
      <c r="S394" s="74"/>
      <c r="T394" s="74"/>
      <c r="U394" s="74"/>
      <c r="V394" s="22"/>
      <c r="W394" s="22"/>
      <c r="X394" s="52"/>
      <c r="Y394" s="22"/>
      <c r="Z394" s="22"/>
      <c r="AA394" s="22"/>
      <c r="AB394" s="22"/>
      <c r="AC394" s="22"/>
      <c r="AD394" s="22"/>
      <c r="AE394" s="22"/>
      <c r="AF394" s="22"/>
      <c r="AG394" s="22"/>
      <c r="AH394" s="52"/>
      <c r="AI394" s="52"/>
      <c r="AJ394" s="52"/>
      <c r="AK394" s="52"/>
      <c r="AL394" s="22"/>
      <c r="AM394" s="52"/>
      <c r="AN394" s="22"/>
      <c r="AO394" s="22"/>
      <c r="AP394" s="22"/>
      <c r="AQ394" s="22"/>
      <c r="AR394" s="22"/>
      <c r="AS394" s="22"/>
      <c r="AT394" s="22"/>
      <c r="AU394" s="22"/>
      <c r="AV394" s="77"/>
      <c r="AW394" s="77"/>
      <c r="AX394" s="239" t="s">
        <v>502</v>
      </c>
      <c r="AY394" s="22">
        <f t="shared" si="1462"/>
        <v>1262.5999999999999</v>
      </c>
      <c r="AZ394" s="22"/>
      <c r="BA394" s="22"/>
      <c r="BB394" s="22">
        <f>+[4]БПр!$K$1418/1000</f>
        <v>1262.5999999999999</v>
      </c>
      <c r="BC394" s="22">
        <v>11.07</v>
      </c>
      <c r="BD394" s="22">
        <v>11.53</v>
      </c>
      <c r="BE394" s="22">
        <f t="shared" si="1463"/>
        <v>104.1553748870822</v>
      </c>
      <c r="BF394" s="22"/>
      <c r="BG394" s="22"/>
      <c r="BH394" s="22"/>
      <c r="BI394" s="22"/>
      <c r="BJ394" s="240"/>
      <c r="BK394" s="19"/>
      <c r="BL394" s="19"/>
      <c r="BM394" s="19"/>
      <c r="BN394" s="19"/>
      <c r="BO394" s="19"/>
      <c r="BP394" s="19"/>
      <c r="BQ394" s="19"/>
      <c r="BR394" s="19"/>
      <c r="BS394" s="19"/>
      <c r="BT394" s="19"/>
      <c r="BU394" s="19"/>
      <c r="BV394" s="19"/>
      <c r="BW394" s="19"/>
      <c r="BX394" s="19"/>
      <c r="BY394" s="19"/>
      <c r="BZ394" s="19"/>
      <c r="CA394" s="19"/>
      <c r="CB394" s="19"/>
      <c r="CC394" s="19"/>
      <c r="CD394" s="19"/>
      <c r="CE394" s="48"/>
      <c r="CF394" s="48"/>
      <c r="CG394" s="48"/>
      <c r="CH394" s="48"/>
      <c r="CI394" s="48"/>
      <c r="CJ394" s="48"/>
      <c r="CK394" s="48"/>
      <c r="CL394" s="48"/>
      <c r="CM394" s="48"/>
      <c r="CN394" s="48"/>
      <c r="CO394" s="48"/>
      <c r="CP394" s="48"/>
      <c r="CQ394" s="48"/>
      <c r="CR394" s="48"/>
      <c r="CS394" s="48"/>
      <c r="CT394" s="48"/>
      <c r="CU394" s="48"/>
      <c r="CV394" s="48"/>
      <c r="CW394" s="19"/>
      <c r="CX394" s="19"/>
      <c r="CY394" s="19"/>
      <c r="CZ394" s="19"/>
      <c r="DA394" s="21"/>
      <c r="DB394" s="21"/>
      <c r="DC394" s="79"/>
      <c r="DD394" s="79"/>
      <c r="DE394" s="79"/>
      <c r="DF394" s="79"/>
      <c r="DG394" s="79"/>
      <c r="DH394" s="51"/>
      <c r="DI394" s="39"/>
      <c r="DJ394" s="80"/>
      <c r="DK394" s="39"/>
      <c r="DL394" s="39"/>
      <c r="DM394" s="48"/>
      <c r="DN394" s="39"/>
      <c r="DO394" s="39"/>
      <c r="DP394" s="39"/>
      <c r="DQ394" s="39"/>
      <c r="DR394" s="39"/>
      <c r="DS394" s="39"/>
      <c r="DT394" s="39"/>
      <c r="DU394" s="19">
        <f t="shared" si="1490"/>
        <v>0</v>
      </c>
      <c r="DV394" s="40">
        <f t="shared" si="1549"/>
        <v>0</v>
      </c>
      <c r="DW394" s="40">
        <f t="shared" si="1550"/>
        <v>0</v>
      </c>
      <c r="DX394" s="46"/>
      <c r="DY394" s="21">
        <f t="shared" si="1491"/>
        <v>0</v>
      </c>
      <c r="DZ394" s="19">
        <f t="shared" si="1492"/>
        <v>13.976982</v>
      </c>
      <c r="EA394" s="19">
        <f t="shared" si="1493"/>
        <v>14.557777999999999</v>
      </c>
      <c r="EB394" s="19"/>
      <c r="EC394" s="48"/>
      <c r="ED394" s="48"/>
      <c r="EE394" s="22">
        <v>11.53</v>
      </c>
      <c r="EF394" s="22">
        <v>12.22</v>
      </c>
      <c r="EG394" s="22">
        <f t="shared" si="1494"/>
        <v>105.98438855160452</v>
      </c>
      <c r="EH394" s="22"/>
      <c r="EI394" s="22"/>
      <c r="EJ394" s="22">
        <f t="shared" si="1495"/>
        <v>0</v>
      </c>
      <c r="EK394" s="240"/>
      <c r="EL394" s="19">
        <v>1407</v>
      </c>
      <c r="EM394" s="19"/>
      <c r="EN394" s="146">
        <f t="shared" si="1439"/>
        <v>0</v>
      </c>
      <c r="EO394" s="146">
        <f t="shared" si="1440"/>
        <v>0</v>
      </c>
      <c r="EP394" s="146"/>
      <c r="EQ394" s="21">
        <f t="shared" si="1496"/>
        <v>0</v>
      </c>
      <c r="ER394" s="21"/>
      <c r="ES394" s="21">
        <f t="shared" si="1441"/>
        <v>16222.71</v>
      </c>
      <c r="ET394" s="21"/>
      <c r="EU394" s="19">
        <f t="shared" si="1429"/>
        <v>17193.54</v>
      </c>
      <c r="EV394" s="21"/>
      <c r="EW394" s="39"/>
      <c r="EX394" s="39">
        <f t="shared" si="1497"/>
        <v>14557.777999999998</v>
      </c>
      <c r="EY394" s="39">
        <f t="shared" si="1499"/>
        <v>15428.972</v>
      </c>
      <c r="EZ394" s="39"/>
      <c r="FA394" s="39"/>
      <c r="FB394" s="39"/>
      <c r="FC394" s="39"/>
      <c r="FD394" s="39"/>
      <c r="FE394" s="39"/>
      <c r="FF394" s="39"/>
      <c r="FG394" s="39"/>
      <c r="FH394" s="39"/>
      <c r="FI394" s="39"/>
      <c r="FJ394" s="19">
        <f t="shared" si="1442"/>
        <v>0</v>
      </c>
      <c r="FK394" s="19">
        <f t="shared" si="1443"/>
        <v>0</v>
      </c>
      <c r="FL394" s="19">
        <f t="shared" si="1430"/>
        <v>0</v>
      </c>
      <c r="FM394" s="19">
        <v>1316.3</v>
      </c>
      <c r="FN394" s="19"/>
      <c r="FO394" s="22">
        <v>15.94</v>
      </c>
      <c r="FP394" s="22">
        <v>16.260000000000002</v>
      </c>
      <c r="FQ394" s="22"/>
      <c r="FR394" s="22" t="s">
        <v>633</v>
      </c>
      <c r="FS394" s="22" t="s">
        <v>633</v>
      </c>
      <c r="FT394" s="22"/>
      <c r="FU394" s="240"/>
      <c r="FV394" s="19"/>
      <c r="FW394" s="19"/>
      <c r="FX394" s="19"/>
      <c r="FY394" s="19"/>
      <c r="FZ394" s="19"/>
      <c r="GA394" s="19"/>
      <c r="GB394" s="19"/>
      <c r="GC394" s="20"/>
      <c r="GD394" s="20"/>
      <c r="GE394" s="21"/>
      <c r="GF394" s="21"/>
      <c r="GG394" s="21"/>
      <c r="GH394" s="21"/>
      <c r="GI394" s="21"/>
      <c r="GJ394" s="21"/>
      <c r="GK394" s="21"/>
      <c r="GL394" s="21"/>
      <c r="GM394" s="19"/>
      <c r="GN394" s="19"/>
      <c r="GO394" s="22">
        <v>16.260000000000002</v>
      </c>
      <c r="GP394" s="22">
        <v>16.5</v>
      </c>
      <c r="GQ394" s="22"/>
      <c r="GR394" s="22" t="s">
        <v>633</v>
      </c>
      <c r="GS394" s="22" t="s">
        <v>633</v>
      </c>
      <c r="GT394" s="22"/>
      <c r="GU394" s="240"/>
      <c r="GV394" s="19"/>
      <c r="GW394" s="19"/>
      <c r="GX394" s="19"/>
      <c r="GY394" s="19"/>
      <c r="GZ394" s="23"/>
      <c r="HA394" s="22">
        <v>16.5</v>
      </c>
      <c r="HB394" s="22">
        <v>16.72</v>
      </c>
      <c r="HC394" s="22"/>
      <c r="HD394" s="22" t="s">
        <v>633</v>
      </c>
      <c r="HE394" s="22" t="s">
        <v>633</v>
      </c>
      <c r="HF394" s="22"/>
      <c r="HG394" s="240"/>
    </row>
    <row r="395" spans="2:215" ht="15.75">
      <c r="B395" s="10"/>
      <c r="C395" s="184" t="s">
        <v>135</v>
      </c>
      <c r="D395" s="73">
        <f>+E395+I395</f>
        <v>36100000</v>
      </c>
      <c r="E395" s="73"/>
      <c r="F395" s="73"/>
      <c r="G395" s="73"/>
      <c r="H395" s="73"/>
      <c r="I395" s="73">
        <v>36100000</v>
      </c>
      <c r="J395" s="73" t="e">
        <f>+I395*#REF!</f>
        <v>#REF!</v>
      </c>
      <c r="K395" s="73" t="e">
        <f>+I395*#REF!</f>
        <v>#REF!</v>
      </c>
      <c r="L395" s="73" t="e">
        <f>+I395*#REF!</f>
        <v>#REF!</v>
      </c>
      <c r="M395" s="73">
        <f t="shared" si="1500"/>
        <v>30829300</v>
      </c>
      <c r="N395" s="73">
        <f t="shared" si="1501"/>
        <v>0</v>
      </c>
      <c r="O395" s="73"/>
      <c r="P395" s="73"/>
      <c r="Q395" s="73"/>
      <c r="R395" s="73">
        <v>30829300</v>
      </c>
      <c r="S395" s="74">
        <v>15414650</v>
      </c>
      <c r="T395" s="74"/>
      <c r="U395" s="74">
        <v>15414650</v>
      </c>
      <c r="V395" s="52">
        <v>4.58</v>
      </c>
      <c r="W395" s="52">
        <v>4.58</v>
      </c>
      <c r="X395" s="52">
        <f t="shared" ref="X395:X403" si="1551">+IF(V395=0,,W395/V395*100)</f>
        <v>100</v>
      </c>
      <c r="Y395" s="52">
        <v>4.8499999999999996</v>
      </c>
      <c r="Z395" s="22">
        <f t="shared" ref="Z395:Z403" si="1552">+IF(W395=0,,Y395/W395*100)</f>
        <v>105.89519650655022</v>
      </c>
      <c r="AA395" s="52">
        <v>4.96</v>
      </c>
      <c r="AB395" s="22">
        <f t="shared" ref="AB395:AB403" si="1553">+IF(Y395=0,,AA395/Y395*100)</f>
        <v>102.26804123711342</v>
      </c>
      <c r="AC395" s="52">
        <v>4.96</v>
      </c>
      <c r="AD395" s="22">
        <v>4.96</v>
      </c>
      <c r="AE395" s="22">
        <f t="shared" si="1460"/>
        <v>110.48387096774195</v>
      </c>
      <c r="AF395" s="22">
        <v>5.48</v>
      </c>
      <c r="AG395" s="22">
        <f t="shared" si="1504"/>
        <v>110.48387096774195</v>
      </c>
      <c r="AH395" s="52"/>
      <c r="AI395" s="52"/>
      <c r="AJ395" s="52">
        <f t="shared" ref="AJ395:AJ400" si="1554">+IF(AH395=0,,AI395/AH395*100)</f>
        <v>0</v>
      </c>
      <c r="AK395" s="52"/>
      <c r="AL395" s="22">
        <f t="shared" ref="AL395:AL411" si="1555">+IF(AI395=0,,AK395/AI395*100)</f>
        <v>0</v>
      </c>
      <c r="AM395" s="52"/>
      <c r="AN395" s="22">
        <f t="shared" ref="AN395:AN400" si="1556">+IF(AK395=0,,AM395/AK395*100)</f>
        <v>0</v>
      </c>
      <c r="AO395" s="22">
        <f t="shared" ref="AO395:AO400" si="1557">+IF(V395=0,,AA395/V395*100)</f>
        <v>108.29694323144106</v>
      </c>
      <c r="AP395" s="22">
        <f t="shared" ref="AP395:AP400" si="1558">+IF(AH395=0,,AM395/AH395*100)</f>
        <v>0</v>
      </c>
      <c r="AQ395" s="22"/>
      <c r="AR395" s="22"/>
      <c r="AS395" s="22">
        <f t="shared" si="1461"/>
        <v>0</v>
      </c>
      <c r="AT395" s="22"/>
      <c r="AU395" s="22">
        <f t="shared" si="1459"/>
        <v>0</v>
      </c>
      <c r="AV395" s="77"/>
      <c r="AW395" s="77">
        <f t="shared" ref="AW395:AW400" si="1559">+CY395/$CY$375*100</f>
        <v>0</v>
      </c>
      <c r="AX395" s="239"/>
      <c r="AY395" s="22">
        <f t="shared" si="1462"/>
        <v>5221.5560000000023</v>
      </c>
      <c r="AZ395" s="22"/>
      <c r="BA395" s="22"/>
      <c r="BB395" s="22">
        <f>+([4]БПр!$P$1390+[4]БПр!$L$1390)/1000</f>
        <v>5221.5560000000023</v>
      </c>
      <c r="BC395" s="22">
        <v>5.48</v>
      </c>
      <c r="BD395" s="22">
        <v>5.71</v>
      </c>
      <c r="BE395" s="22">
        <f t="shared" si="1463"/>
        <v>104.19708029197079</v>
      </c>
      <c r="BF395" s="22"/>
      <c r="BG395" s="22"/>
      <c r="BH395" s="22">
        <f t="shared" si="1464"/>
        <v>0</v>
      </c>
      <c r="BI395" s="22"/>
      <c r="BJ395" s="240"/>
      <c r="BK395" s="19">
        <f t="shared" si="1465"/>
        <v>165338</v>
      </c>
      <c r="BL395" s="19">
        <f>+E395*AI395/1.18/1000</f>
        <v>0</v>
      </c>
      <c r="BM395" s="19">
        <f>+(W395-ROUND(AI395/1.18,2))*E395/1000</f>
        <v>0</v>
      </c>
      <c r="BN395" s="19">
        <f>+W395*I395/1000</f>
        <v>165338</v>
      </c>
      <c r="BO395" s="19">
        <f t="shared" si="1466"/>
        <v>175085</v>
      </c>
      <c r="BP395" s="19">
        <f>+AK395/1.18*E395/1000</f>
        <v>0</v>
      </c>
      <c r="BQ395" s="19">
        <f>+(Y395-ROUND(AK395/1.18,2))*E395/1000</f>
        <v>0</v>
      </c>
      <c r="BR395" s="19">
        <f>+Y395*I395/1000</f>
        <v>175085</v>
      </c>
      <c r="BS395" s="19">
        <f t="shared" si="1467"/>
        <v>179056</v>
      </c>
      <c r="BT395" s="19">
        <f>+AM395/1.18*E395/1000</f>
        <v>0</v>
      </c>
      <c r="BU395" s="19">
        <f>+(AA395-ROUND(AM395/1.18,2))*E395/1000</f>
        <v>0</v>
      </c>
      <c r="BV395" s="19">
        <f>+AA395*I395/1000</f>
        <v>179056</v>
      </c>
      <c r="BW395" s="19">
        <f t="shared" si="1515"/>
        <v>152913.32800000001</v>
      </c>
      <c r="BX395" s="19">
        <f>+((AQ395/1.18*N395/1000)+(AR395/1.18*N395/1000))/2</f>
        <v>0</v>
      </c>
      <c r="BY395" s="19"/>
      <c r="BZ395" s="19">
        <f>+((AC395*R395/1000)+(R395*AD395/1000))/2</f>
        <v>152913.32800000001</v>
      </c>
      <c r="CA395" s="19">
        <f t="shared" si="1518"/>
        <v>168944.56400000001</v>
      </c>
      <c r="CB395" s="19">
        <f>+AT395/1.18*N395/1000</f>
        <v>0</v>
      </c>
      <c r="CC395" s="19"/>
      <c r="CD395" s="19">
        <f>+AF395*R395/1000</f>
        <v>168944.56400000001</v>
      </c>
      <c r="CE395" s="48">
        <f>+IF(R395=0,,BN395/R395*1000)</f>
        <v>5.3630150538611003</v>
      </c>
      <c r="CF395" s="48">
        <f>+IF(I395=0,,BR395/I395*1000)</f>
        <v>4.8500000000000005</v>
      </c>
      <c r="CG395" s="48">
        <f>+IF(I395=0,,BV395/I395*1000)</f>
        <v>4.96</v>
      </c>
      <c r="CH395" s="48">
        <f>+IF(E395=0,,BL395/E395*1000*1.18)</f>
        <v>0</v>
      </c>
      <c r="CI395" s="48">
        <f>+IF(E395=0,,BP395/E395*1.18*1000)</f>
        <v>0</v>
      </c>
      <c r="CJ395" s="48">
        <f>+IF(E395=0,,BT395/E395*1.18*1000)</f>
        <v>0</v>
      </c>
      <c r="CK395" s="48">
        <f>+IF(D395=0,,BK395/D395*1000)</f>
        <v>4.58</v>
      </c>
      <c r="CL395" s="48">
        <f>+IF(D395=0,,BO395/D395*1000)</f>
        <v>4.8500000000000005</v>
      </c>
      <c r="CM395" s="48">
        <f>+IF(D395=0,,BS395/D395*1000)</f>
        <v>4.96</v>
      </c>
      <c r="CN395" s="48">
        <f>+IF((D395+D395+D395)=0,,(BK395+BO395+BS395)/(D395+D395+D395))*1000</f>
        <v>4.7966666666666669</v>
      </c>
      <c r="CO395" s="48">
        <f>+IF(R395=0,,BZ395/R395*1000)</f>
        <v>4.96</v>
      </c>
      <c r="CP395" s="48">
        <f>+IF(R395=0,,CD395/R395*1000)</f>
        <v>5.48</v>
      </c>
      <c r="CQ395" s="48">
        <f>+IF(N395=0,,BX395/N395*1.18*1000)</f>
        <v>0</v>
      </c>
      <c r="CR395" s="48">
        <f>+IF(N395=0,,CB395/N395*1.18*1000)</f>
        <v>0</v>
      </c>
      <c r="CS395" s="48">
        <f>+IF(M395=0,,BW395/M395*1000)</f>
        <v>4.96</v>
      </c>
      <c r="CT395" s="48">
        <f>+IF(M395=0,,CA395/M395*1000)</f>
        <v>5.48</v>
      </c>
      <c r="CU395" s="48">
        <f>+IF((M395+M395)=0,,(CA395+BW395)/(M395+M395))*1000</f>
        <v>5.22</v>
      </c>
      <c r="CV395" s="48">
        <f t="shared" si="1424"/>
        <v>108.82557331480194</v>
      </c>
      <c r="CW395" s="19">
        <f>+((AI395*F395)/1.18+(G395*AK395)/1.18+(H395*AM395)/1.18)/1000</f>
        <v>0</v>
      </c>
      <c r="CX395" s="19">
        <f>+((W395*F395)+(Y395*G395)+(AA395*H395))/1000</f>
        <v>0</v>
      </c>
      <c r="CY395" s="19">
        <f>+((AQ395*O395)/1.18+(Q395*AT395)/1.18+(AR395*P395)/1.18)/1000</f>
        <v>0</v>
      </c>
      <c r="CZ395" s="19">
        <f>+((AC395*O395)+(AF395*Q395)+(AD395*P395))/1000</f>
        <v>0</v>
      </c>
      <c r="DA395" s="21">
        <f t="shared" si="1542"/>
        <v>0</v>
      </c>
      <c r="DB395" s="21">
        <f t="shared" si="1543"/>
        <v>0</v>
      </c>
      <c r="DC395" s="79">
        <f t="shared" si="1425"/>
        <v>0</v>
      </c>
      <c r="DD395" s="79">
        <f t="shared" si="1425"/>
        <v>0</v>
      </c>
      <c r="DE395" s="79">
        <f>+(O395+S395)*AC395/1000</f>
        <v>76456.664000000004</v>
      </c>
      <c r="DF395" s="79">
        <f>+(P395+T395)*AD395/1000</f>
        <v>0</v>
      </c>
      <c r="DG395" s="79">
        <f>+AF395*(Q395+U395)/1000</f>
        <v>84472.282000000007</v>
      </c>
      <c r="DH395" s="51">
        <f t="shared" si="1402"/>
        <v>160928.946</v>
      </c>
      <c r="DI395" s="39"/>
      <c r="DJ395" s="80" t="e">
        <f>+(F395+J395)*W395/1000</f>
        <v>#REF!</v>
      </c>
      <c r="DK395" s="39" t="e">
        <f>+Y395*(G395+K395)/1000</f>
        <v>#REF!</v>
      </c>
      <c r="DL395" s="39" t="e">
        <f>+(H395+L395)*AA395/1000</f>
        <v>#REF!</v>
      </c>
      <c r="DM395" s="48">
        <f>+AT395-'[2]тарифы (12-13) население 15%'!AP503</f>
        <v>0</v>
      </c>
      <c r="DN395" s="39"/>
      <c r="DO395" s="39"/>
      <c r="DP395" s="39"/>
      <c r="DQ395" s="39"/>
      <c r="DR395" s="39"/>
      <c r="DS395" s="39"/>
      <c r="DT395" s="39"/>
      <c r="DU395" s="19">
        <f t="shared" si="1490"/>
        <v>0</v>
      </c>
      <c r="DV395" s="40">
        <f t="shared" si="1549"/>
        <v>0</v>
      </c>
      <c r="DW395" s="40">
        <f t="shared" si="1550"/>
        <v>0</v>
      </c>
      <c r="DX395" s="19"/>
      <c r="DY395" s="21">
        <f t="shared" si="1491"/>
        <v>0</v>
      </c>
      <c r="DZ395" s="19">
        <f t="shared" si="1492"/>
        <v>28.614126880000015</v>
      </c>
      <c r="EA395" s="19">
        <f t="shared" si="1493"/>
        <v>29.815084760000012</v>
      </c>
      <c r="EB395" s="19"/>
      <c r="EC395" s="48"/>
      <c r="ED395" s="48"/>
      <c r="EE395" s="22">
        <v>5.71</v>
      </c>
      <c r="EF395" s="22">
        <v>6.05</v>
      </c>
      <c r="EG395" s="22">
        <f t="shared" si="1494"/>
        <v>105.95446584938703</v>
      </c>
      <c r="EH395" s="22"/>
      <c r="EI395" s="22"/>
      <c r="EJ395" s="22">
        <f t="shared" si="1495"/>
        <v>0</v>
      </c>
      <c r="EK395" s="240"/>
      <c r="EL395" s="19"/>
      <c r="EM395" s="19"/>
      <c r="EN395" s="146">
        <f t="shared" si="1439"/>
        <v>0</v>
      </c>
      <c r="EO395" s="146">
        <f t="shared" si="1440"/>
        <v>0</v>
      </c>
      <c r="EP395" s="146"/>
      <c r="EQ395" s="21">
        <f t="shared" si="1496"/>
        <v>0</v>
      </c>
      <c r="ER395" s="21"/>
      <c r="ES395" s="21">
        <f t="shared" si="1441"/>
        <v>0</v>
      </c>
      <c r="ET395" s="21"/>
      <c r="EU395" s="19">
        <f t="shared" si="1429"/>
        <v>0</v>
      </c>
      <c r="EV395" s="21"/>
      <c r="EW395" s="39"/>
      <c r="EX395" s="39">
        <f t="shared" si="1497"/>
        <v>29815.084760000012</v>
      </c>
      <c r="EY395" s="39">
        <f t="shared" si="1499"/>
        <v>31590.413800000013</v>
      </c>
      <c r="EZ395" s="39"/>
      <c r="FA395" s="39"/>
      <c r="FB395" s="39"/>
      <c r="FC395" s="39"/>
      <c r="FD395" s="39"/>
      <c r="FE395" s="39"/>
      <c r="FF395" s="39"/>
      <c r="FG395" s="39"/>
      <c r="FH395" s="39"/>
      <c r="FI395" s="39"/>
      <c r="FJ395" s="19">
        <f t="shared" si="1442"/>
        <v>0</v>
      </c>
      <c r="FK395" s="19">
        <f t="shared" si="1443"/>
        <v>0</v>
      </c>
      <c r="FL395" s="19">
        <f t="shared" si="1430"/>
        <v>0</v>
      </c>
      <c r="FM395" s="19">
        <v>26636.55</v>
      </c>
      <c r="FN395" s="19"/>
      <c r="FO395" s="22">
        <v>7.84</v>
      </c>
      <c r="FP395" s="22">
        <v>8</v>
      </c>
      <c r="FQ395" s="22"/>
      <c r="FR395" s="22" t="s">
        <v>633</v>
      </c>
      <c r="FS395" s="22" t="s">
        <v>633</v>
      </c>
      <c r="FT395" s="22"/>
      <c r="FU395" s="240"/>
      <c r="FV395" s="19"/>
      <c r="FW395" s="19"/>
      <c r="FX395" s="19"/>
      <c r="FY395" s="19"/>
      <c r="FZ395" s="19"/>
      <c r="GA395" s="19"/>
      <c r="GB395" s="19"/>
      <c r="GC395" s="20"/>
      <c r="GD395" s="20"/>
      <c r="GE395" s="21"/>
      <c r="GF395" s="21"/>
      <c r="GG395" s="21"/>
      <c r="GH395" s="21"/>
      <c r="GI395" s="21"/>
      <c r="GJ395" s="21"/>
      <c r="GK395" s="21"/>
      <c r="GL395" s="21"/>
      <c r="GM395" s="19"/>
      <c r="GN395" s="19"/>
      <c r="GO395" s="22">
        <v>8</v>
      </c>
      <c r="GP395" s="22">
        <v>8.15</v>
      </c>
      <c r="GQ395" s="22"/>
      <c r="GR395" s="22" t="s">
        <v>633</v>
      </c>
      <c r="GS395" s="22" t="s">
        <v>633</v>
      </c>
      <c r="GT395" s="22"/>
      <c r="GU395" s="240"/>
      <c r="GV395" s="19"/>
      <c r="GW395" s="19"/>
      <c r="GX395" s="19"/>
      <c r="GY395" s="19"/>
      <c r="GZ395" s="23"/>
      <c r="HA395" s="22">
        <v>8.15</v>
      </c>
      <c r="HB395" s="22">
        <v>8.27</v>
      </c>
      <c r="HC395" s="22"/>
      <c r="HD395" s="22" t="s">
        <v>633</v>
      </c>
      <c r="HE395" s="22" t="s">
        <v>633</v>
      </c>
      <c r="HF395" s="22"/>
      <c r="HG395" s="240"/>
    </row>
    <row r="396" spans="2:215" ht="15.75">
      <c r="B396" s="10" t="s">
        <v>503</v>
      </c>
      <c r="C396" s="174" t="s">
        <v>504</v>
      </c>
      <c r="D396" s="46"/>
      <c r="E396" s="46"/>
      <c r="F396" s="46"/>
      <c r="G396" s="46"/>
      <c r="H396" s="46"/>
      <c r="I396" s="46"/>
      <c r="J396" s="46"/>
      <c r="K396" s="46"/>
      <c r="L396" s="46"/>
      <c r="M396" s="73">
        <f t="shared" si="1500"/>
        <v>0</v>
      </c>
      <c r="N396" s="73">
        <f t="shared" si="1501"/>
        <v>0</v>
      </c>
      <c r="O396" s="46"/>
      <c r="P396" s="46"/>
      <c r="Q396" s="46"/>
      <c r="R396" s="73">
        <f t="shared" si="1502"/>
        <v>0</v>
      </c>
      <c r="S396" s="46"/>
      <c r="T396" s="46"/>
      <c r="U396" s="46"/>
      <c r="V396" s="52"/>
      <c r="W396" s="52"/>
      <c r="X396" s="52">
        <f t="shared" si="1551"/>
        <v>0</v>
      </c>
      <c r="Y396" s="52"/>
      <c r="Z396" s="22">
        <f t="shared" si="1552"/>
        <v>0</v>
      </c>
      <c r="AA396" s="52"/>
      <c r="AB396" s="22">
        <f t="shared" si="1553"/>
        <v>0</v>
      </c>
      <c r="AC396" s="22"/>
      <c r="AD396" s="22"/>
      <c r="AE396" s="22">
        <f t="shared" si="1460"/>
        <v>0</v>
      </c>
      <c r="AF396" s="22"/>
      <c r="AG396" s="22">
        <f t="shared" si="1504"/>
        <v>0</v>
      </c>
      <c r="AH396" s="52"/>
      <c r="AI396" s="52"/>
      <c r="AJ396" s="52">
        <f t="shared" si="1554"/>
        <v>0</v>
      </c>
      <c r="AK396" s="52"/>
      <c r="AL396" s="22">
        <f t="shared" si="1555"/>
        <v>0</v>
      </c>
      <c r="AM396" s="52"/>
      <c r="AN396" s="22">
        <f t="shared" si="1556"/>
        <v>0</v>
      </c>
      <c r="AO396" s="22">
        <f t="shared" si="1557"/>
        <v>0</v>
      </c>
      <c r="AP396" s="22">
        <f t="shared" si="1558"/>
        <v>0</v>
      </c>
      <c r="AQ396" s="22"/>
      <c r="AR396" s="22"/>
      <c r="AS396" s="22">
        <f t="shared" si="1461"/>
        <v>0</v>
      </c>
      <c r="AT396" s="22"/>
      <c r="AU396" s="22">
        <f t="shared" si="1459"/>
        <v>0</v>
      </c>
      <c r="AV396" s="77"/>
      <c r="AW396" s="77">
        <f t="shared" si="1559"/>
        <v>0</v>
      </c>
      <c r="AX396" s="78"/>
      <c r="AY396" s="22">
        <f t="shared" si="1462"/>
        <v>0</v>
      </c>
      <c r="AZ396" s="22"/>
      <c r="BA396" s="22"/>
      <c r="BB396" s="22"/>
      <c r="BC396" s="22"/>
      <c r="BD396" s="22"/>
      <c r="BE396" s="22">
        <f t="shared" si="1463"/>
        <v>0</v>
      </c>
      <c r="BF396" s="22"/>
      <c r="BG396" s="22"/>
      <c r="BH396" s="22">
        <f t="shared" si="1464"/>
        <v>0</v>
      </c>
      <c r="BI396" s="22"/>
      <c r="BJ396" s="40"/>
      <c r="BK396" s="19">
        <f t="shared" si="1465"/>
        <v>0</v>
      </c>
      <c r="BL396" s="19">
        <f t="shared" ref="BL396:BL403" si="1560">+E396*AI396/1.18/1000</f>
        <v>0</v>
      </c>
      <c r="BM396" s="19">
        <f t="shared" ref="BM396:BM403" si="1561">+(W396-ROUND(AI396/1.18,2))*E396/1000</f>
        <v>0</v>
      </c>
      <c r="BN396" s="19">
        <f t="shared" ref="BN396:BN403" si="1562">+W396*I396/1000</f>
        <v>0</v>
      </c>
      <c r="BO396" s="19">
        <f t="shared" si="1466"/>
        <v>0</v>
      </c>
      <c r="BP396" s="19">
        <f t="shared" ref="BP396:BP403" si="1563">+AK396/1.18*E396/1000</f>
        <v>0</v>
      </c>
      <c r="BQ396" s="19">
        <f t="shared" ref="BQ396:BQ403" si="1564">+(Y396-ROUND(AK396/1.18,2))*E396/1000</f>
        <v>0</v>
      </c>
      <c r="BR396" s="19">
        <f t="shared" ref="BR396:BR403" si="1565">+Y396*I396/1000</f>
        <v>0</v>
      </c>
      <c r="BS396" s="19">
        <f t="shared" si="1467"/>
        <v>0</v>
      </c>
      <c r="BT396" s="19">
        <f t="shared" ref="BT396:BT403" si="1566">+AM396/1.18*E396/1000</f>
        <v>0</v>
      </c>
      <c r="BU396" s="19">
        <f t="shared" ref="BU396:BU403" si="1567">+(AA396-ROUND(AM396/1.18,2))*E396/1000</f>
        <v>0</v>
      </c>
      <c r="BV396" s="19">
        <f t="shared" ref="BV396:BV403" si="1568">+AA396*I396/1000</f>
        <v>0</v>
      </c>
      <c r="BW396" s="19">
        <f t="shared" si="1515"/>
        <v>0</v>
      </c>
      <c r="BX396" s="19">
        <f t="shared" ref="BX396:BX403" si="1569">+((AQ396/1.18*N396/1000)+(AR396/1.18*N396/1000))/2</f>
        <v>0</v>
      </c>
      <c r="BY396" s="19"/>
      <c r="BZ396" s="19">
        <f t="shared" ref="BZ396:BZ403" si="1570">+((AC396*R396/1000)+(R396*AD396/1000))/2</f>
        <v>0</v>
      </c>
      <c r="CA396" s="19">
        <f t="shared" si="1518"/>
        <v>0</v>
      </c>
      <c r="CB396" s="19">
        <f t="shared" ref="CB396:CB403" si="1571">+AT396/1.18*N396/1000</f>
        <v>0</v>
      </c>
      <c r="CC396" s="19"/>
      <c r="CD396" s="19">
        <f t="shared" ref="CD396:CD403" si="1572">+AF396*R396/1000</f>
        <v>0</v>
      </c>
      <c r="CE396" s="48">
        <f t="shared" ref="CE396:CE403" si="1573">+IF(R396=0,,BN396/R396*1000)</f>
        <v>0</v>
      </c>
      <c r="CF396" s="48">
        <f t="shared" ref="CF396:CF403" si="1574">+IF(I396=0,,BR396/I396*1000)</f>
        <v>0</v>
      </c>
      <c r="CG396" s="48">
        <f t="shared" ref="CG396:CG403" si="1575">+IF(I396=0,,BV396/I396*1000)</f>
        <v>0</v>
      </c>
      <c r="CH396" s="48">
        <f t="shared" ref="CH396:CH403" si="1576">+IF(E396=0,,BL396/E396*1000*1.18)</f>
        <v>0</v>
      </c>
      <c r="CI396" s="48">
        <f t="shared" ref="CI396:CI403" si="1577">+IF(E396=0,,BP396/E396*1.18*1000)</f>
        <v>0</v>
      </c>
      <c r="CJ396" s="48">
        <f t="shared" ref="CJ396:CJ403" si="1578">+IF(E396=0,,BT396/E396*1.18*1000)</f>
        <v>0</v>
      </c>
      <c r="CK396" s="48">
        <f t="shared" ref="CK396:CK403" si="1579">+IF(D396=0,,BK396/D396*1000)</f>
        <v>0</v>
      </c>
      <c r="CL396" s="48">
        <f t="shared" ref="CL396:CL403" si="1580">+IF(D396=0,,BO396/D396*1000)</f>
        <v>0</v>
      </c>
      <c r="CM396" s="48">
        <f t="shared" ref="CM396:CM403" si="1581">+IF(D396=0,,BS396/D396*1000)</f>
        <v>0</v>
      </c>
      <c r="CN396" s="48">
        <f t="shared" ref="CN396:CN425" si="1582">+IF((D396+D396+D396)=0,,(BK396+BO396+BS396)/(D396+D396+D396))*1000</f>
        <v>0</v>
      </c>
      <c r="CO396" s="48">
        <f t="shared" ref="CO396:CO403" si="1583">+IF(R396=0,,BZ396/R396*1000)</f>
        <v>0</v>
      </c>
      <c r="CP396" s="48">
        <f t="shared" ref="CP396:CP403" si="1584">+IF(R396=0,,CD396/R396*1000)</f>
        <v>0</v>
      </c>
      <c r="CQ396" s="48">
        <f t="shared" ref="CQ396:CQ403" si="1585">+IF(N396=0,,BX396/N396*1.18*1000)</f>
        <v>0</v>
      </c>
      <c r="CR396" s="48">
        <f t="shared" ref="CR396:CR403" si="1586">+IF(N396=0,,CB396/N396*1.18*1000)</f>
        <v>0</v>
      </c>
      <c r="CS396" s="48">
        <f t="shared" ref="CS396:CS403" si="1587">+IF(M396=0,,BW396/M396*1000)</f>
        <v>0</v>
      </c>
      <c r="CT396" s="48">
        <f t="shared" ref="CT396:CT400" si="1588">+IF(M396=0,,CA396/M396*1000)</f>
        <v>0</v>
      </c>
      <c r="CU396" s="48">
        <f t="shared" ref="CU396:CU403" si="1589">+IF((M396+M396)=0,,(CA396+BW396)/(M396+M396))*1000</f>
        <v>0</v>
      </c>
      <c r="CV396" s="48">
        <f t="shared" si="1424"/>
        <v>0</v>
      </c>
      <c r="CW396" s="19">
        <f t="shared" ref="CW396:CW403" si="1590">+((AI396*F396)/1.18+(G396*AK396)/1.18+(H396*AM396)/1.18)/1000</f>
        <v>0</v>
      </c>
      <c r="CX396" s="19">
        <f t="shared" ref="CX396:CX403" si="1591">+((W396*F396)+(Y396*G396)+(AA396*H396))/1000</f>
        <v>0</v>
      </c>
      <c r="CY396" s="19">
        <f t="shared" ref="CY396:CY403" si="1592">+((AQ396*O396)/1.18+(Q396*AT396)/1.18+(AR396*P396)/1.18)/1000</f>
        <v>0</v>
      </c>
      <c r="CZ396" s="19">
        <f t="shared" ref="CZ396:CZ403" si="1593">+((AC396*O396)+(AF396*Q396)+(AD396*P396))/1000</f>
        <v>0</v>
      </c>
      <c r="DA396" s="21">
        <f t="shared" si="1542"/>
        <v>0</v>
      </c>
      <c r="DB396" s="21">
        <f t="shared" si="1543"/>
        <v>0</v>
      </c>
      <c r="DC396" s="79">
        <f t="shared" si="1425"/>
        <v>0</v>
      </c>
      <c r="DD396" s="79">
        <f t="shared" si="1425"/>
        <v>0</v>
      </c>
      <c r="DE396" s="79">
        <f t="shared" ref="DE396:DF403" si="1594">+(O396+S396)*AC396/1000</f>
        <v>0</v>
      </c>
      <c r="DF396" s="79">
        <f t="shared" si="1594"/>
        <v>0</v>
      </c>
      <c r="DG396" s="79">
        <f t="shared" ref="DG396:DG403" si="1595">+AF396*(Q396+U396)/1000</f>
        <v>0</v>
      </c>
      <c r="DH396" s="51">
        <f t="shared" ref="DH396:DH403" si="1596">+DE396+DF396+DG396</f>
        <v>0</v>
      </c>
      <c r="DI396" s="39"/>
      <c r="DJ396" s="80">
        <f t="shared" ref="DJ396:DJ403" si="1597">+(F396+J396)*W396/1000</f>
        <v>0</v>
      </c>
      <c r="DK396" s="39">
        <f t="shared" ref="DK396:DK403" si="1598">+Y396*(G396+K396)/1000</f>
        <v>0</v>
      </c>
      <c r="DL396" s="39">
        <f t="shared" ref="DL396:DL403" si="1599">+(H396+L396)*AA396/1000</f>
        <v>0</v>
      </c>
      <c r="DM396" s="48">
        <f>+AT396-'[2]тарифы (12-13) население 15%'!AP506</f>
        <v>0</v>
      </c>
      <c r="DN396" s="39"/>
      <c r="DO396" s="39"/>
      <c r="DP396" s="39"/>
      <c r="DQ396" s="39"/>
      <c r="DR396" s="39"/>
      <c r="DS396" s="39"/>
      <c r="DT396" s="39"/>
      <c r="DU396" s="19">
        <f t="shared" si="1490"/>
        <v>0</v>
      </c>
      <c r="DV396" s="40">
        <f t="shared" si="1549"/>
        <v>0</v>
      </c>
      <c r="DW396" s="40">
        <f t="shared" si="1550"/>
        <v>0</v>
      </c>
      <c r="DX396" s="46"/>
      <c r="DY396" s="21">
        <f t="shared" si="1491"/>
        <v>0</v>
      </c>
      <c r="DZ396" s="19">
        <f t="shared" si="1492"/>
        <v>0</v>
      </c>
      <c r="EA396" s="19">
        <f t="shared" si="1493"/>
        <v>0</v>
      </c>
      <c r="EB396" s="19"/>
      <c r="EC396" s="48"/>
      <c r="ED396" s="48"/>
      <c r="EE396" s="22"/>
      <c r="EF396" s="22"/>
      <c r="EG396" s="22">
        <f t="shared" si="1494"/>
        <v>0</v>
      </c>
      <c r="EH396" s="22"/>
      <c r="EI396" s="22"/>
      <c r="EJ396" s="22">
        <f t="shared" si="1495"/>
        <v>0</v>
      </c>
      <c r="EK396" s="40"/>
      <c r="EL396" s="19"/>
      <c r="EM396" s="19"/>
      <c r="EN396" s="146">
        <f t="shared" si="1439"/>
        <v>0</v>
      </c>
      <c r="EO396" s="146">
        <f t="shared" si="1440"/>
        <v>0</v>
      </c>
      <c r="EP396" s="146"/>
      <c r="EQ396" s="21">
        <f t="shared" si="1496"/>
        <v>0</v>
      </c>
      <c r="ER396" s="21"/>
      <c r="ES396" s="21">
        <f t="shared" si="1441"/>
        <v>0</v>
      </c>
      <c r="ET396" s="21"/>
      <c r="EU396" s="19">
        <f t="shared" si="1429"/>
        <v>0</v>
      </c>
      <c r="EV396" s="21"/>
      <c r="EW396" s="39"/>
      <c r="EX396" s="39">
        <f t="shared" si="1497"/>
        <v>0</v>
      </c>
      <c r="EY396" s="39">
        <f t="shared" si="1499"/>
        <v>0</v>
      </c>
      <c r="EZ396" s="39"/>
      <c r="FA396" s="39"/>
      <c r="FB396" s="39"/>
      <c r="FC396" s="39"/>
      <c r="FD396" s="39"/>
      <c r="FE396" s="39"/>
      <c r="FF396" s="39"/>
      <c r="FG396" s="39"/>
      <c r="FH396" s="39"/>
      <c r="FI396" s="39"/>
      <c r="FJ396" s="19">
        <f t="shared" si="1442"/>
        <v>0</v>
      </c>
      <c r="FK396" s="19">
        <f t="shared" si="1443"/>
        <v>0</v>
      </c>
      <c r="FL396" s="19">
        <f t="shared" si="1430"/>
        <v>0</v>
      </c>
      <c r="FM396" s="19"/>
      <c r="FN396" s="19"/>
      <c r="FO396" s="22"/>
      <c r="FP396" s="22"/>
      <c r="FQ396" s="22"/>
      <c r="FR396" s="22"/>
      <c r="FS396" s="22"/>
      <c r="FT396" s="22"/>
      <c r="FU396" s="40"/>
      <c r="FV396" s="19"/>
      <c r="FW396" s="19"/>
      <c r="FX396" s="19"/>
      <c r="FY396" s="19"/>
      <c r="FZ396" s="19"/>
      <c r="GA396" s="19"/>
      <c r="GB396" s="19"/>
      <c r="GC396" s="20"/>
      <c r="GD396" s="20"/>
      <c r="GE396" s="21"/>
      <c r="GF396" s="21"/>
      <c r="GG396" s="21"/>
      <c r="GH396" s="21"/>
      <c r="GI396" s="21"/>
      <c r="GJ396" s="21"/>
      <c r="GK396" s="21"/>
      <c r="GL396" s="21"/>
      <c r="GM396" s="19"/>
      <c r="GN396" s="19"/>
      <c r="GO396" s="22"/>
      <c r="GP396" s="22"/>
      <c r="GQ396" s="22"/>
      <c r="GR396" s="22"/>
      <c r="GS396" s="22"/>
      <c r="GT396" s="22"/>
      <c r="GU396" s="43"/>
      <c r="GV396" s="19"/>
      <c r="GW396" s="19"/>
      <c r="GX396" s="19"/>
      <c r="GY396" s="19"/>
      <c r="GZ396" s="23"/>
      <c r="HA396" s="22"/>
      <c r="HB396" s="22"/>
      <c r="HC396" s="22"/>
      <c r="HD396" s="22"/>
      <c r="HE396" s="22"/>
      <c r="HF396" s="22"/>
      <c r="HG396" s="233"/>
    </row>
    <row r="397" spans="2:215" ht="15.75">
      <c r="B397" s="10"/>
      <c r="C397" s="161" t="s">
        <v>204</v>
      </c>
      <c r="D397" s="73">
        <f>+E397+I397</f>
        <v>6020</v>
      </c>
      <c r="E397" s="73"/>
      <c r="F397" s="73"/>
      <c r="G397" s="73"/>
      <c r="H397" s="73"/>
      <c r="I397" s="73">
        <f>+'[2]2012(объемы годовые)'!Q426+'[2]2012(объемы годовые)'!U426+'[2]2012(объемы годовые)'!Y426</f>
        <v>6020</v>
      </c>
      <c r="J397" s="74">
        <f>+I397*$J$3</f>
        <v>3326.652</v>
      </c>
      <c r="K397" s="74">
        <f>+I397*$K$3</f>
        <v>897.58200000000011</v>
      </c>
      <c r="L397" s="74">
        <f>+I397*$L$3</f>
        <v>1795.7660000000001</v>
      </c>
      <c r="M397" s="73">
        <f>+'[5]тарифы (НВВ) население на 12%'!$M$526</f>
        <v>6020</v>
      </c>
      <c r="N397" s="73">
        <f t="shared" si="1501"/>
        <v>0</v>
      </c>
      <c r="O397" s="74">
        <v>0</v>
      </c>
      <c r="P397" s="74"/>
      <c r="Q397" s="74">
        <v>0</v>
      </c>
      <c r="R397" s="73">
        <f t="shared" si="1502"/>
        <v>6020</v>
      </c>
      <c r="S397" s="74">
        <v>3549.3920000000003</v>
      </c>
      <c r="T397" s="74"/>
      <c r="U397" s="74">
        <v>2470.6079999999997</v>
      </c>
      <c r="V397" s="52">
        <v>800.56</v>
      </c>
      <c r="W397" s="52">
        <v>800.56</v>
      </c>
      <c r="X397" s="52">
        <f t="shared" si="1551"/>
        <v>100</v>
      </c>
      <c r="Y397" s="52">
        <v>847.79</v>
      </c>
      <c r="Z397" s="22">
        <f t="shared" si="1552"/>
        <v>105.89962026581394</v>
      </c>
      <c r="AA397" s="52">
        <v>888.48</v>
      </c>
      <c r="AB397" s="22">
        <f t="shared" si="1553"/>
        <v>104.79953762134491</v>
      </c>
      <c r="AC397" s="52">
        <v>888.48</v>
      </c>
      <c r="AD397" s="52">
        <v>888.48</v>
      </c>
      <c r="AE397" s="22">
        <f t="shared" si="1460"/>
        <v>111.67499549792905</v>
      </c>
      <c r="AF397" s="22">
        <v>992.21</v>
      </c>
      <c r="AG397" s="22">
        <f t="shared" si="1504"/>
        <v>111.67499549792905</v>
      </c>
      <c r="AH397" s="52"/>
      <c r="AI397" s="52"/>
      <c r="AJ397" s="52">
        <f t="shared" si="1554"/>
        <v>0</v>
      </c>
      <c r="AK397" s="52"/>
      <c r="AL397" s="22">
        <f t="shared" si="1555"/>
        <v>0</v>
      </c>
      <c r="AM397" s="52"/>
      <c r="AN397" s="22">
        <f t="shared" si="1556"/>
        <v>0</v>
      </c>
      <c r="AO397" s="22">
        <f t="shared" si="1557"/>
        <v>110.98231238133307</v>
      </c>
      <c r="AP397" s="22">
        <f t="shared" si="1558"/>
        <v>0</v>
      </c>
      <c r="AQ397" s="22"/>
      <c r="AR397" s="22"/>
      <c r="AS397" s="22">
        <f t="shared" si="1461"/>
        <v>0</v>
      </c>
      <c r="AT397" s="22"/>
      <c r="AU397" s="22">
        <f t="shared" si="1459"/>
        <v>0</v>
      </c>
      <c r="AV397" s="77"/>
      <c r="AW397" s="77">
        <f t="shared" si="1559"/>
        <v>0</v>
      </c>
      <c r="AX397" s="78" t="s">
        <v>505</v>
      </c>
      <c r="AY397" s="22">
        <f t="shared" si="1462"/>
        <v>6.0200000000000005</v>
      </c>
      <c r="AZ397" s="22">
        <f>+[8]БПр!$BX$2094/1000</f>
        <v>0</v>
      </c>
      <c r="BA397" s="22">
        <f>+[8]БПр!$BW$2094/1000</f>
        <v>0.49</v>
      </c>
      <c r="BB397" s="22">
        <f>+([8]БПр!$BY$2094+[8]БПр!$BO$2094)/1000</f>
        <v>5.53</v>
      </c>
      <c r="BC397" s="22">
        <v>984.59</v>
      </c>
      <c r="BD397" s="22">
        <v>1107.94</v>
      </c>
      <c r="BE397" s="22">
        <f t="shared" si="1463"/>
        <v>112.5280573639789</v>
      </c>
      <c r="BF397" s="22"/>
      <c r="BG397" s="22"/>
      <c r="BH397" s="22">
        <f t="shared" si="1464"/>
        <v>0</v>
      </c>
      <c r="BI397" s="22"/>
      <c r="BJ397" s="40" t="s">
        <v>506</v>
      </c>
      <c r="BK397" s="19">
        <f t="shared" si="1465"/>
        <v>4819.3711999999996</v>
      </c>
      <c r="BL397" s="19">
        <f t="shared" si="1560"/>
        <v>0</v>
      </c>
      <c r="BM397" s="19">
        <f t="shared" si="1561"/>
        <v>0</v>
      </c>
      <c r="BN397" s="19">
        <f t="shared" si="1562"/>
        <v>4819.3711999999996</v>
      </c>
      <c r="BO397" s="19">
        <f t="shared" si="1466"/>
        <v>5103.6957999999995</v>
      </c>
      <c r="BP397" s="19">
        <f t="shared" si="1563"/>
        <v>0</v>
      </c>
      <c r="BQ397" s="19">
        <f t="shared" si="1564"/>
        <v>0</v>
      </c>
      <c r="BR397" s="19">
        <f t="shared" si="1565"/>
        <v>5103.6957999999995</v>
      </c>
      <c r="BS397" s="19">
        <f t="shared" si="1467"/>
        <v>5348.6496000000006</v>
      </c>
      <c r="BT397" s="19">
        <f t="shared" si="1566"/>
        <v>0</v>
      </c>
      <c r="BU397" s="19">
        <f t="shared" si="1567"/>
        <v>0</v>
      </c>
      <c r="BV397" s="19">
        <f t="shared" si="1568"/>
        <v>5348.6496000000006</v>
      </c>
      <c r="BW397" s="19">
        <f t="shared" si="1515"/>
        <v>5348.6496000000006</v>
      </c>
      <c r="BX397" s="19">
        <f t="shared" si="1569"/>
        <v>0</v>
      </c>
      <c r="BY397" s="19"/>
      <c r="BZ397" s="19">
        <f t="shared" si="1570"/>
        <v>5348.6496000000006</v>
      </c>
      <c r="CA397" s="19">
        <f t="shared" si="1518"/>
        <v>5973.1041999999998</v>
      </c>
      <c r="CB397" s="19">
        <f t="shared" si="1571"/>
        <v>0</v>
      </c>
      <c r="CC397" s="19"/>
      <c r="CD397" s="19">
        <f t="shared" si="1572"/>
        <v>5973.1041999999998</v>
      </c>
      <c r="CE397" s="48">
        <f t="shared" si="1573"/>
        <v>800.56</v>
      </c>
      <c r="CF397" s="48">
        <f t="shared" si="1574"/>
        <v>847.79</v>
      </c>
      <c r="CG397" s="48">
        <f t="shared" si="1575"/>
        <v>888.48000000000013</v>
      </c>
      <c r="CH397" s="48">
        <f t="shared" si="1576"/>
        <v>0</v>
      </c>
      <c r="CI397" s="48">
        <f t="shared" si="1577"/>
        <v>0</v>
      </c>
      <c r="CJ397" s="48">
        <f t="shared" si="1578"/>
        <v>0</v>
      </c>
      <c r="CK397" s="48">
        <f t="shared" si="1579"/>
        <v>800.56</v>
      </c>
      <c r="CL397" s="48">
        <f t="shared" si="1580"/>
        <v>847.79</v>
      </c>
      <c r="CM397" s="48">
        <f t="shared" si="1581"/>
        <v>888.48000000000013</v>
      </c>
      <c r="CN397" s="48">
        <f t="shared" si="1582"/>
        <v>845.61</v>
      </c>
      <c r="CO397" s="48">
        <f t="shared" si="1583"/>
        <v>888.48000000000013</v>
      </c>
      <c r="CP397" s="48">
        <f t="shared" si="1584"/>
        <v>992.20999999999992</v>
      </c>
      <c r="CQ397" s="48">
        <f t="shared" si="1585"/>
        <v>0</v>
      </c>
      <c r="CR397" s="48">
        <f t="shared" si="1586"/>
        <v>0</v>
      </c>
      <c r="CS397" s="48">
        <f t="shared" si="1587"/>
        <v>888.48000000000013</v>
      </c>
      <c r="CT397" s="48">
        <f t="shared" si="1588"/>
        <v>992.20999999999992</v>
      </c>
      <c r="CU397" s="48">
        <f t="shared" si="1589"/>
        <v>940.34500000000003</v>
      </c>
      <c r="CV397" s="48">
        <f t="shared" si="1424"/>
        <v>111.20315511878999</v>
      </c>
      <c r="CW397" s="19">
        <f t="shared" si="1590"/>
        <v>0</v>
      </c>
      <c r="CX397" s="19">
        <f t="shared" si="1591"/>
        <v>0</v>
      </c>
      <c r="CY397" s="19">
        <f t="shared" si="1592"/>
        <v>0</v>
      </c>
      <c r="CZ397" s="19">
        <f t="shared" si="1593"/>
        <v>0</v>
      </c>
      <c r="DA397" s="21">
        <f t="shared" si="1542"/>
        <v>0</v>
      </c>
      <c r="DB397" s="21">
        <f t="shared" si="1543"/>
        <v>0</v>
      </c>
      <c r="DC397" s="79">
        <f t="shared" si="1425"/>
        <v>0</v>
      </c>
      <c r="DD397" s="79">
        <f t="shared" si="1425"/>
        <v>0</v>
      </c>
      <c r="DE397" s="79">
        <f t="shared" si="1594"/>
        <v>3153.5638041600005</v>
      </c>
      <c r="DF397" s="79">
        <f t="shared" si="1594"/>
        <v>0</v>
      </c>
      <c r="DG397" s="79">
        <f t="shared" si="1595"/>
        <v>2451.3619636799999</v>
      </c>
      <c r="DH397" s="51">
        <f t="shared" si="1596"/>
        <v>5604.9257678400008</v>
      </c>
      <c r="DI397" s="39"/>
      <c r="DJ397" s="80">
        <f t="shared" si="1597"/>
        <v>2663.1845251199998</v>
      </c>
      <c r="DK397" s="39">
        <f t="shared" si="1598"/>
        <v>760.96104378000007</v>
      </c>
      <c r="DL397" s="39">
        <f t="shared" si="1599"/>
        <v>1595.5021756800002</v>
      </c>
      <c r="DM397" s="48">
        <f>+AT397-'[2]тарифы (12-13) население 15%'!AP507</f>
        <v>0</v>
      </c>
      <c r="DN397" s="39"/>
      <c r="DO397" s="39"/>
      <c r="DP397" s="39"/>
      <c r="DQ397" s="39"/>
      <c r="DR397" s="39"/>
      <c r="DS397" s="39"/>
      <c r="DT397" s="39"/>
      <c r="DU397" s="19">
        <f t="shared" si="1490"/>
        <v>0</v>
      </c>
      <c r="DV397" s="40">
        <f t="shared" si="1549"/>
        <v>0</v>
      </c>
      <c r="DW397" s="40">
        <f t="shared" si="1550"/>
        <v>0</v>
      </c>
      <c r="DX397" s="46"/>
      <c r="DY397" s="21">
        <f t="shared" si="1491"/>
        <v>0</v>
      </c>
      <c r="DZ397" s="19">
        <f t="shared" si="1492"/>
        <v>5.9272318000000004</v>
      </c>
      <c r="EA397" s="19">
        <f t="shared" si="1493"/>
        <v>6.6697988000000006</v>
      </c>
      <c r="EB397" s="19"/>
      <c r="EC397" s="48"/>
      <c r="ED397" s="48"/>
      <c r="EE397" s="22">
        <v>1107.94</v>
      </c>
      <c r="EF397" s="22">
        <v>1201.93</v>
      </c>
      <c r="EG397" s="22">
        <f t="shared" si="1494"/>
        <v>108.48331137065183</v>
      </c>
      <c r="EH397" s="22"/>
      <c r="EI397" s="22"/>
      <c r="EJ397" s="22">
        <f t="shared" si="1495"/>
        <v>0</v>
      </c>
      <c r="EK397" s="40" t="s">
        <v>507</v>
      </c>
      <c r="EL397" s="19">
        <f>+AY397</f>
        <v>6.0200000000000005</v>
      </c>
      <c r="EM397" s="19"/>
      <c r="EN397" s="146">
        <f t="shared" si="1439"/>
        <v>0</v>
      </c>
      <c r="EO397" s="146">
        <f t="shared" si="1440"/>
        <v>0</v>
      </c>
      <c r="EP397" s="146"/>
      <c r="EQ397" s="21">
        <f t="shared" si="1496"/>
        <v>0</v>
      </c>
      <c r="ER397" s="21"/>
      <c r="ES397" s="21">
        <f t="shared" si="1441"/>
        <v>6669.7988000000005</v>
      </c>
      <c r="ET397" s="21"/>
      <c r="EU397" s="19">
        <f t="shared" si="1429"/>
        <v>7235.6186000000007</v>
      </c>
      <c r="EV397" s="21"/>
      <c r="EW397" s="39"/>
      <c r="EX397" s="39">
        <f t="shared" si="1497"/>
        <v>6669.7988000000005</v>
      </c>
      <c r="EY397" s="39">
        <f t="shared" si="1499"/>
        <v>7235.6186000000007</v>
      </c>
      <c r="EZ397" s="39"/>
      <c r="FA397" s="39"/>
      <c r="FB397" s="39"/>
      <c r="FC397" s="39"/>
      <c r="FD397" s="39"/>
      <c r="FE397" s="39"/>
      <c r="FF397" s="39"/>
      <c r="FG397" s="39"/>
      <c r="FH397" s="39"/>
      <c r="FI397" s="39"/>
      <c r="FJ397" s="19">
        <f t="shared" si="1442"/>
        <v>0</v>
      </c>
      <c r="FK397" s="19">
        <f t="shared" si="1443"/>
        <v>0</v>
      </c>
      <c r="FL397" s="19">
        <f t="shared" si="1430"/>
        <v>0</v>
      </c>
      <c r="FM397" s="19">
        <v>6.02</v>
      </c>
      <c r="FN397" s="19"/>
      <c r="FO397" s="22">
        <v>1264.1099999999999</v>
      </c>
      <c r="FP397" s="22">
        <v>1279.54</v>
      </c>
      <c r="FQ397" s="22"/>
      <c r="FR397" s="22" t="s">
        <v>633</v>
      </c>
      <c r="FS397" s="22" t="s">
        <v>633</v>
      </c>
      <c r="FT397" s="22"/>
      <c r="FU397" s="40" t="s">
        <v>710</v>
      </c>
      <c r="FV397" s="19"/>
      <c r="FW397" s="19"/>
      <c r="FX397" s="19"/>
      <c r="FY397" s="19"/>
      <c r="FZ397" s="19"/>
      <c r="GA397" s="19"/>
      <c r="GB397" s="19"/>
      <c r="GC397" s="20"/>
      <c r="GD397" s="20"/>
      <c r="GE397" s="21"/>
      <c r="GF397" s="21"/>
      <c r="GG397" s="21"/>
      <c r="GH397" s="21"/>
      <c r="GI397" s="21"/>
      <c r="GJ397" s="21"/>
      <c r="GK397" s="21"/>
      <c r="GL397" s="21"/>
      <c r="GM397" s="19"/>
      <c r="GN397" s="19"/>
      <c r="GO397" s="22">
        <v>1279.54</v>
      </c>
      <c r="GP397" s="22">
        <v>1312.23</v>
      </c>
      <c r="GQ397" s="22"/>
      <c r="GR397" s="22" t="s">
        <v>633</v>
      </c>
      <c r="GS397" s="22" t="s">
        <v>633</v>
      </c>
      <c r="GT397" s="22"/>
      <c r="GU397" s="40" t="s">
        <v>710</v>
      </c>
      <c r="GV397" s="19"/>
      <c r="GW397" s="19"/>
      <c r="GX397" s="19"/>
      <c r="GY397" s="19"/>
      <c r="GZ397" s="23"/>
      <c r="HA397" s="22">
        <v>1312.23</v>
      </c>
      <c r="HB397" s="22">
        <v>1346.18</v>
      </c>
      <c r="HC397" s="22"/>
      <c r="HD397" s="22" t="s">
        <v>633</v>
      </c>
      <c r="HE397" s="22" t="s">
        <v>633</v>
      </c>
      <c r="HF397" s="22"/>
      <c r="HG397" s="236" t="s">
        <v>710</v>
      </c>
    </row>
    <row r="398" spans="2:215" ht="15.75">
      <c r="B398" s="10" t="s">
        <v>508</v>
      </c>
      <c r="C398" s="174" t="s">
        <v>509</v>
      </c>
      <c r="D398" s="46"/>
      <c r="E398" s="46"/>
      <c r="F398" s="46"/>
      <c r="G398" s="46"/>
      <c r="H398" s="46"/>
      <c r="I398" s="46"/>
      <c r="J398" s="46"/>
      <c r="K398" s="46"/>
      <c r="L398" s="46"/>
      <c r="M398" s="73">
        <f t="shared" si="1500"/>
        <v>0</v>
      </c>
      <c r="N398" s="73">
        <f t="shared" si="1501"/>
        <v>0</v>
      </c>
      <c r="O398" s="46"/>
      <c r="P398" s="46"/>
      <c r="Q398" s="46"/>
      <c r="R398" s="73">
        <f t="shared" si="1502"/>
        <v>0</v>
      </c>
      <c r="S398" s="46"/>
      <c r="T398" s="46"/>
      <c r="U398" s="46"/>
      <c r="V398" s="52"/>
      <c r="W398" s="52"/>
      <c r="X398" s="52">
        <f t="shared" si="1551"/>
        <v>0</v>
      </c>
      <c r="Y398" s="52"/>
      <c r="Z398" s="22">
        <f t="shared" si="1552"/>
        <v>0</v>
      </c>
      <c r="AA398" s="52"/>
      <c r="AB398" s="22">
        <f t="shared" si="1553"/>
        <v>0</v>
      </c>
      <c r="AC398" s="22"/>
      <c r="AD398" s="22"/>
      <c r="AE398" s="22">
        <f t="shared" si="1460"/>
        <v>0</v>
      </c>
      <c r="AF398" s="22"/>
      <c r="AG398" s="22">
        <f t="shared" si="1504"/>
        <v>0</v>
      </c>
      <c r="AH398" s="52"/>
      <c r="AI398" s="52"/>
      <c r="AJ398" s="52">
        <f t="shared" si="1554"/>
        <v>0</v>
      </c>
      <c r="AK398" s="52"/>
      <c r="AL398" s="22">
        <f t="shared" si="1555"/>
        <v>0</v>
      </c>
      <c r="AM398" s="52"/>
      <c r="AN398" s="22">
        <f t="shared" si="1556"/>
        <v>0</v>
      </c>
      <c r="AO398" s="22">
        <f t="shared" si="1557"/>
        <v>0</v>
      </c>
      <c r="AP398" s="22">
        <f t="shared" si="1558"/>
        <v>0</v>
      </c>
      <c r="AQ398" s="22"/>
      <c r="AR398" s="22"/>
      <c r="AS398" s="22">
        <f t="shared" si="1461"/>
        <v>0</v>
      </c>
      <c r="AT398" s="22"/>
      <c r="AU398" s="22">
        <f t="shared" si="1459"/>
        <v>0</v>
      </c>
      <c r="AV398" s="77"/>
      <c r="AW398" s="77">
        <f t="shared" si="1559"/>
        <v>0</v>
      </c>
      <c r="AX398" s="78"/>
      <c r="AY398" s="22">
        <f t="shared" si="1462"/>
        <v>0</v>
      </c>
      <c r="AZ398" s="22"/>
      <c r="BA398" s="22"/>
      <c r="BB398" s="22"/>
      <c r="BC398" s="22"/>
      <c r="BD398" s="22"/>
      <c r="BE398" s="22">
        <f t="shared" si="1463"/>
        <v>0</v>
      </c>
      <c r="BF398" s="22"/>
      <c r="BG398" s="22"/>
      <c r="BH398" s="22">
        <f t="shared" si="1464"/>
        <v>0</v>
      </c>
      <c r="BI398" s="22"/>
      <c r="BJ398" s="40"/>
      <c r="BK398" s="19">
        <f t="shared" si="1465"/>
        <v>0</v>
      </c>
      <c r="BL398" s="19">
        <f t="shared" si="1560"/>
        <v>0</v>
      </c>
      <c r="BM398" s="19">
        <f t="shared" si="1561"/>
        <v>0</v>
      </c>
      <c r="BN398" s="19">
        <f t="shared" si="1562"/>
        <v>0</v>
      </c>
      <c r="BO398" s="19">
        <f t="shared" si="1466"/>
        <v>0</v>
      </c>
      <c r="BP398" s="19">
        <f t="shared" si="1563"/>
        <v>0</v>
      </c>
      <c r="BQ398" s="19">
        <f t="shared" si="1564"/>
        <v>0</v>
      </c>
      <c r="BR398" s="19">
        <f t="shared" si="1565"/>
        <v>0</v>
      </c>
      <c r="BS398" s="19">
        <f t="shared" si="1467"/>
        <v>0</v>
      </c>
      <c r="BT398" s="19">
        <f t="shared" si="1566"/>
        <v>0</v>
      </c>
      <c r="BU398" s="19">
        <f t="shared" si="1567"/>
        <v>0</v>
      </c>
      <c r="BV398" s="19">
        <f t="shared" si="1568"/>
        <v>0</v>
      </c>
      <c r="BW398" s="19">
        <f t="shared" si="1515"/>
        <v>0</v>
      </c>
      <c r="BX398" s="19">
        <f t="shared" si="1569"/>
        <v>0</v>
      </c>
      <c r="BY398" s="19"/>
      <c r="BZ398" s="19">
        <f t="shared" si="1570"/>
        <v>0</v>
      </c>
      <c r="CA398" s="19">
        <f t="shared" si="1518"/>
        <v>0</v>
      </c>
      <c r="CB398" s="19">
        <f t="shared" si="1571"/>
        <v>0</v>
      </c>
      <c r="CC398" s="19"/>
      <c r="CD398" s="19">
        <f t="shared" si="1572"/>
        <v>0</v>
      </c>
      <c r="CE398" s="48">
        <f t="shared" si="1573"/>
        <v>0</v>
      </c>
      <c r="CF398" s="48">
        <f t="shared" si="1574"/>
        <v>0</v>
      </c>
      <c r="CG398" s="48">
        <f t="shared" si="1575"/>
        <v>0</v>
      </c>
      <c r="CH398" s="48">
        <f t="shared" si="1576"/>
        <v>0</v>
      </c>
      <c r="CI398" s="48">
        <f t="shared" si="1577"/>
        <v>0</v>
      </c>
      <c r="CJ398" s="48">
        <f t="shared" si="1578"/>
        <v>0</v>
      </c>
      <c r="CK398" s="48">
        <f t="shared" si="1579"/>
        <v>0</v>
      </c>
      <c r="CL398" s="48">
        <f t="shared" si="1580"/>
        <v>0</v>
      </c>
      <c r="CM398" s="48">
        <f t="shared" si="1581"/>
        <v>0</v>
      </c>
      <c r="CN398" s="48">
        <f t="shared" si="1582"/>
        <v>0</v>
      </c>
      <c r="CO398" s="48">
        <f t="shared" si="1583"/>
        <v>0</v>
      </c>
      <c r="CP398" s="48">
        <f t="shared" si="1584"/>
        <v>0</v>
      </c>
      <c r="CQ398" s="48">
        <f t="shared" si="1585"/>
        <v>0</v>
      </c>
      <c r="CR398" s="48">
        <f t="shared" si="1586"/>
        <v>0</v>
      </c>
      <c r="CS398" s="48">
        <f t="shared" si="1587"/>
        <v>0</v>
      </c>
      <c r="CT398" s="48">
        <f t="shared" si="1588"/>
        <v>0</v>
      </c>
      <c r="CU398" s="48">
        <f t="shared" si="1589"/>
        <v>0</v>
      </c>
      <c r="CV398" s="48">
        <f t="shared" si="1424"/>
        <v>0</v>
      </c>
      <c r="CW398" s="19">
        <f t="shared" si="1590"/>
        <v>0</v>
      </c>
      <c r="CX398" s="19">
        <f t="shared" si="1591"/>
        <v>0</v>
      </c>
      <c r="CY398" s="19">
        <f t="shared" si="1592"/>
        <v>0</v>
      </c>
      <c r="CZ398" s="19">
        <f t="shared" si="1593"/>
        <v>0</v>
      </c>
      <c r="DA398" s="21">
        <f t="shared" si="1542"/>
        <v>0</v>
      </c>
      <c r="DB398" s="21">
        <f t="shared" si="1543"/>
        <v>0</v>
      </c>
      <c r="DC398" s="79">
        <f t="shared" si="1425"/>
        <v>0</v>
      </c>
      <c r="DD398" s="79">
        <f t="shared" si="1425"/>
        <v>0</v>
      </c>
      <c r="DE398" s="79">
        <f t="shared" si="1594"/>
        <v>0</v>
      </c>
      <c r="DF398" s="79">
        <f t="shared" si="1594"/>
        <v>0</v>
      </c>
      <c r="DG398" s="79">
        <f t="shared" si="1595"/>
        <v>0</v>
      </c>
      <c r="DH398" s="51">
        <f t="shared" si="1596"/>
        <v>0</v>
      </c>
      <c r="DI398" s="39"/>
      <c r="DJ398" s="80">
        <f t="shared" si="1597"/>
        <v>0</v>
      </c>
      <c r="DK398" s="39">
        <f t="shared" si="1598"/>
        <v>0</v>
      </c>
      <c r="DL398" s="39">
        <f t="shared" si="1599"/>
        <v>0</v>
      </c>
      <c r="DM398" s="48">
        <f>+AT398-'[2]тарифы (12-13) население 15%'!AP510</f>
        <v>0</v>
      </c>
      <c r="DN398" s="39"/>
      <c r="DO398" s="39"/>
      <c r="DP398" s="39"/>
      <c r="DQ398" s="39"/>
      <c r="DR398" s="39"/>
      <c r="DS398" s="39"/>
      <c r="DT398" s="39"/>
      <c r="DU398" s="19">
        <f t="shared" si="1490"/>
        <v>0</v>
      </c>
      <c r="DV398" s="40">
        <f t="shared" si="1549"/>
        <v>0</v>
      </c>
      <c r="DW398" s="40">
        <f t="shared" si="1550"/>
        <v>0</v>
      </c>
      <c r="DX398" s="46"/>
      <c r="DY398" s="21">
        <f t="shared" si="1491"/>
        <v>0</v>
      </c>
      <c r="DZ398" s="19">
        <f t="shared" si="1492"/>
        <v>0</v>
      </c>
      <c r="EA398" s="19">
        <f t="shared" si="1493"/>
        <v>0</v>
      </c>
      <c r="EB398" s="19"/>
      <c r="EC398" s="48"/>
      <c r="ED398" s="48"/>
      <c r="EE398" s="22"/>
      <c r="EF398" s="22"/>
      <c r="EG398" s="22">
        <f t="shared" si="1494"/>
        <v>0</v>
      </c>
      <c r="EH398" s="22"/>
      <c r="EI398" s="22"/>
      <c r="EJ398" s="22">
        <f t="shared" si="1495"/>
        <v>0</v>
      </c>
      <c r="EK398" s="40"/>
      <c r="EL398" s="19"/>
      <c r="EM398" s="19"/>
      <c r="EN398" s="146">
        <f t="shared" si="1439"/>
        <v>0</v>
      </c>
      <c r="EO398" s="146">
        <f t="shared" si="1440"/>
        <v>0</v>
      </c>
      <c r="EP398" s="146"/>
      <c r="EQ398" s="21">
        <f t="shared" si="1496"/>
        <v>0</v>
      </c>
      <c r="ER398" s="21"/>
      <c r="ES398" s="21">
        <f t="shared" si="1441"/>
        <v>0</v>
      </c>
      <c r="ET398" s="21"/>
      <c r="EU398" s="19">
        <f t="shared" si="1429"/>
        <v>0</v>
      </c>
      <c r="EV398" s="21"/>
      <c r="EW398" s="39"/>
      <c r="EX398" s="39">
        <f t="shared" ref="EX398:EX403" si="1600">+BD398*AY398</f>
        <v>0</v>
      </c>
      <c r="EY398" s="39">
        <f t="shared" si="1499"/>
        <v>0</v>
      </c>
      <c r="EZ398" s="39"/>
      <c r="FA398" s="39"/>
      <c r="FB398" s="39"/>
      <c r="FC398" s="39"/>
      <c r="FD398" s="39"/>
      <c r="FE398" s="39"/>
      <c r="FF398" s="39"/>
      <c r="FG398" s="39"/>
      <c r="FH398" s="39"/>
      <c r="FI398" s="39"/>
      <c r="FJ398" s="19">
        <f t="shared" si="1442"/>
        <v>0</v>
      </c>
      <c r="FK398" s="19">
        <f t="shared" si="1443"/>
        <v>0</v>
      </c>
      <c r="FL398" s="19">
        <f t="shared" si="1430"/>
        <v>0</v>
      </c>
      <c r="FM398" s="19"/>
      <c r="FN398" s="19"/>
      <c r="FO398" s="22"/>
      <c r="FP398" s="22"/>
      <c r="FQ398" s="22"/>
      <c r="FR398" s="22"/>
      <c r="FS398" s="22"/>
      <c r="FT398" s="22"/>
      <c r="FU398" s="40"/>
      <c r="FV398" s="19"/>
      <c r="FW398" s="19"/>
      <c r="FX398" s="19"/>
      <c r="FY398" s="19"/>
      <c r="FZ398" s="19"/>
      <c r="GA398" s="19"/>
      <c r="GB398" s="19"/>
      <c r="GC398" s="20"/>
      <c r="GD398" s="20"/>
      <c r="GE398" s="21"/>
      <c r="GF398" s="21"/>
      <c r="GG398" s="21"/>
      <c r="GH398" s="21"/>
      <c r="GI398" s="21"/>
      <c r="GJ398" s="21"/>
      <c r="GK398" s="21"/>
      <c r="GL398" s="21"/>
      <c r="GM398" s="19"/>
      <c r="GN398" s="19"/>
      <c r="GO398" s="22"/>
      <c r="GP398" s="22"/>
      <c r="GQ398" s="22"/>
      <c r="GR398" s="22"/>
      <c r="GS398" s="22"/>
      <c r="GT398" s="22"/>
      <c r="GU398" s="43"/>
      <c r="GV398" s="19"/>
      <c r="GW398" s="19"/>
      <c r="GX398" s="19"/>
      <c r="GY398" s="19"/>
      <c r="GZ398" s="23"/>
      <c r="HA398" s="22"/>
      <c r="HB398" s="22"/>
      <c r="HC398" s="22"/>
      <c r="HD398" s="22"/>
      <c r="HE398" s="22"/>
      <c r="HF398" s="22"/>
      <c r="HG398" s="233"/>
    </row>
    <row r="399" spans="2:215" ht="15.75">
      <c r="B399" s="10"/>
      <c r="C399" s="184" t="s">
        <v>131</v>
      </c>
      <c r="D399" s="188">
        <f>+E399+I399</f>
        <v>31049800</v>
      </c>
      <c r="E399" s="188">
        <v>23586200</v>
      </c>
      <c r="F399" s="74" t="e">
        <f>+E399*#REF!</f>
        <v>#REF!</v>
      </c>
      <c r="G399" s="74" t="e">
        <f>+E399*#REF!</f>
        <v>#REF!</v>
      </c>
      <c r="H399" s="74" t="e">
        <f>+E399*#REF!</f>
        <v>#REF!</v>
      </c>
      <c r="I399" s="188">
        <f>2770800+4692800</f>
        <v>7463600</v>
      </c>
      <c r="J399" s="73" t="e">
        <f>+I399*#REF!</f>
        <v>#REF!</v>
      </c>
      <c r="K399" s="73" t="e">
        <f>+I399*#REF!</f>
        <v>#REF!</v>
      </c>
      <c r="L399" s="73" t="e">
        <f>+I399*#REF!</f>
        <v>#REF!</v>
      </c>
      <c r="M399" s="73">
        <f>+N399+R399</f>
        <v>26056300</v>
      </c>
      <c r="N399" s="73">
        <v>14827000</v>
      </c>
      <c r="O399" s="74">
        <v>7413500</v>
      </c>
      <c r="P399" s="74"/>
      <c r="Q399" s="74">
        <v>7413500</v>
      </c>
      <c r="R399" s="73">
        <f>1162600+10066700</f>
        <v>11229300</v>
      </c>
      <c r="S399" s="74">
        <v>5614650</v>
      </c>
      <c r="T399" s="74"/>
      <c r="U399" s="74">
        <v>5614650</v>
      </c>
      <c r="V399" s="130">
        <v>14.92</v>
      </c>
      <c r="W399" s="130">
        <v>14.92</v>
      </c>
      <c r="X399" s="52">
        <f t="shared" si="1551"/>
        <v>100</v>
      </c>
      <c r="Y399" s="130">
        <v>15.8</v>
      </c>
      <c r="Z399" s="22">
        <f t="shared" si="1552"/>
        <v>105.89812332439679</v>
      </c>
      <c r="AA399" s="130">
        <v>16.670000000000002</v>
      </c>
      <c r="AB399" s="22">
        <f t="shared" si="1553"/>
        <v>105.50632911392405</v>
      </c>
      <c r="AC399" s="22">
        <v>16.670000000000002</v>
      </c>
      <c r="AD399" s="22">
        <v>16.670000000000002</v>
      </c>
      <c r="AE399" s="22">
        <f t="shared" si="1460"/>
        <v>110.55788842231553</v>
      </c>
      <c r="AF399" s="22">
        <v>18.43</v>
      </c>
      <c r="AG399" s="22">
        <f t="shared" si="1504"/>
        <v>110.55788842231553</v>
      </c>
      <c r="AH399" s="130">
        <v>17.61</v>
      </c>
      <c r="AI399" s="130">
        <v>17.61</v>
      </c>
      <c r="AJ399" s="52">
        <f t="shared" si="1554"/>
        <v>100</v>
      </c>
      <c r="AK399" s="130">
        <v>18.64</v>
      </c>
      <c r="AL399" s="22">
        <f t="shared" si="1555"/>
        <v>105.8489494605338</v>
      </c>
      <c r="AM399" s="130">
        <v>19.670000000000002</v>
      </c>
      <c r="AN399" s="22">
        <f t="shared" si="1556"/>
        <v>105.52575107296138</v>
      </c>
      <c r="AO399" s="22">
        <f t="shared" si="1557"/>
        <v>111.72922252010724</v>
      </c>
      <c r="AP399" s="22">
        <f t="shared" si="1558"/>
        <v>111.69789892106759</v>
      </c>
      <c r="AQ399" s="22">
        <v>19.670000000000002</v>
      </c>
      <c r="AR399" s="22">
        <v>19.670000000000002</v>
      </c>
      <c r="AS399" s="22">
        <f t="shared" si="1461"/>
        <v>110.57447890188104</v>
      </c>
      <c r="AT399" s="22">
        <v>21.75</v>
      </c>
      <c r="AU399" s="22">
        <f t="shared" si="1459"/>
        <v>110.57447890188104</v>
      </c>
      <c r="AV399" s="77"/>
      <c r="AW399" s="77">
        <f t="shared" si="1559"/>
        <v>51.542962158632832</v>
      </c>
      <c r="AX399" s="239" t="s">
        <v>510</v>
      </c>
      <c r="AY399" s="22">
        <f t="shared" si="1462"/>
        <v>25998.9</v>
      </c>
      <c r="AZ399" s="22">
        <f>+[3]БПр!$AC$1276/1000</f>
        <v>14499.899999999998</v>
      </c>
      <c r="BA399" s="22">
        <f>+[3]БПр!$AB$1278/1000</f>
        <v>1166.0999999999999</v>
      </c>
      <c r="BB399" s="22">
        <f>+[3]БПр!$AD$1278/1000+233.29+[3]БПр!$V$1278/1000</f>
        <v>10332.900000000001</v>
      </c>
      <c r="BC399" s="22">
        <v>18.43</v>
      </c>
      <c r="BD399" s="22">
        <v>19.2</v>
      </c>
      <c r="BE399" s="22">
        <f t="shared" si="1463"/>
        <v>104.17797069994575</v>
      </c>
      <c r="BF399" s="22">
        <v>21.75</v>
      </c>
      <c r="BG399" s="22">
        <v>22.66</v>
      </c>
      <c r="BH399" s="22">
        <f t="shared" si="1464"/>
        <v>104.18390804597702</v>
      </c>
      <c r="BI399" s="22"/>
      <c r="BJ399" s="240" t="s">
        <v>511</v>
      </c>
      <c r="BK399" s="19">
        <f t="shared" si="1465"/>
        <v>463350.96454237291</v>
      </c>
      <c r="BL399" s="19">
        <f t="shared" si="1560"/>
        <v>351994.0525423729</v>
      </c>
      <c r="BM399" s="19">
        <f t="shared" si="1561"/>
        <v>0</v>
      </c>
      <c r="BN399" s="19">
        <f t="shared" si="1562"/>
        <v>111356.912</v>
      </c>
      <c r="BO399" s="19">
        <f t="shared" si="1466"/>
        <v>490506.88677966106</v>
      </c>
      <c r="BP399" s="19">
        <f t="shared" si="1563"/>
        <v>372582.00677966105</v>
      </c>
      <c r="BQ399" s="19">
        <f t="shared" si="1564"/>
        <v>0</v>
      </c>
      <c r="BR399" s="19">
        <f t="shared" si="1565"/>
        <v>117924.88</v>
      </c>
      <c r="BS399" s="19">
        <f t="shared" si="1467"/>
        <v>517588.17301694915</v>
      </c>
      <c r="BT399" s="19">
        <f t="shared" si="1566"/>
        <v>393169.96101694915</v>
      </c>
      <c r="BU399" s="19">
        <f t="shared" si="1567"/>
        <v>0</v>
      </c>
      <c r="BV399" s="19">
        <f t="shared" si="1568"/>
        <v>124418.21200000001</v>
      </c>
      <c r="BW399" s="19">
        <f t="shared" si="1515"/>
        <v>434350.9818474577</v>
      </c>
      <c r="BX399" s="19">
        <f t="shared" si="1569"/>
        <v>247158.55084745763</v>
      </c>
      <c r="BY399" s="19"/>
      <c r="BZ399" s="19">
        <f t="shared" si="1570"/>
        <v>187192.43100000004</v>
      </c>
      <c r="CA399" s="19">
        <f t="shared" si="1518"/>
        <v>480250.27866101696</v>
      </c>
      <c r="CB399" s="19">
        <f t="shared" si="1571"/>
        <v>273294.27966101695</v>
      </c>
      <c r="CC399" s="19"/>
      <c r="CD399" s="19">
        <f t="shared" si="1572"/>
        <v>206955.99900000001</v>
      </c>
      <c r="CE399" s="48">
        <f t="shared" si="1573"/>
        <v>9.9166387931571851</v>
      </c>
      <c r="CF399" s="48">
        <f t="shared" si="1574"/>
        <v>15.8</v>
      </c>
      <c r="CG399" s="48">
        <f t="shared" si="1575"/>
        <v>16.670000000000002</v>
      </c>
      <c r="CH399" s="48">
        <f t="shared" si="1576"/>
        <v>17.61</v>
      </c>
      <c r="CI399" s="48">
        <f t="shared" si="1577"/>
        <v>18.64</v>
      </c>
      <c r="CJ399" s="48">
        <f t="shared" si="1578"/>
        <v>19.670000000000002</v>
      </c>
      <c r="CK399" s="48">
        <f t="shared" si="1579"/>
        <v>14.922832499480604</v>
      </c>
      <c r="CL399" s="48">
        <f t="shared" si="1580"/>
        <v>15.797425000472177</v>
      </c>
      <c r="CM399" s="48">
        <f t="shared" si="1581"/>
        <v>16.669613750070827</v>
      </c>
      <c r="CN399" s="48">
        <f t="shared" si="1582"/>
        <v>15.796623750007868</v>
      </c>
      <c r="CO399" s="48">
        <f t="shared" si="1583"/>
        <v>16.670000000000005</v>
      </c>
      <c r="CP399" s="48">
        <f t="shared" si="1584"/>
        <v>18.430000000000003</v>
      </c>
      <c r="CQ399" s="48">
        <f t="shared" si="1585"/>
        <v>19.670000000000002</v>
      </c>
      <c r="CR399" s="48">
        <f t="shared" si="1586"/>
        <v>21.75</v>
      </c>
      <c r="CS399" s="48">
        <f t="shared" si="1587"/>
        <v>16.669710659128796</v>
      </c>
      <c r="CT399" s="48">
        <f t="shared" si="1588"/>
        <v>18.431253810441888</v>
      </c>
      <c r="CU399" s="48">
        <f t="shared" si="1589"/>
        <v>17.550482234785342</v>
      </c>
      <c r="CV399" s="48">
        <f t="shared" si="1424"/>
        <v>111.10274266535343</v>
      </c>
      <c r="CW399" s="19" t="e">
        <f t="shared" si="1590"/>
        <v>#REF!</v>
      </c>
      <c r="CX399" s="19" t="e">
        <f t="shared" si="1591"/>
        <v>#REF!</v>
      </c>
      <c r="CY399" s="19">
        <f t="shared" si="1592"/>
        <v>260226.4152542373</v>
      </c>
      <c r="CZ399" s="19">
        <f t="shared" si="1593"/>
        <v>260213.85</v>
      </c>
      <c r="DA399" s="21" t="e">
        <f t="shared" si="1542"/>
        <v>#REF!</v>
      </c>
      <c r="DB399" s="21">
        <f t="shared" si="1543"/>
        <v>100.00482881838815</v>
      </c>
      <c r="DC399" s="79" t="e">
        <f t="shared" si="1425"/>
        <v>#REF!</v>
      </c>
      <c r="DD399" s="79" t="e">
        <f t="shared" si="1425"/>
        <v>#REF!</v>
      </c>
      <c r="DE399" s="79">
        <f t="shared" si="1594"/>
        <v>217179.26050000003</v>
      </c>
      <c r="DF399" s="79">
        <f t="shared" si="1594"/>
        <v>0</v>
      </c>
      <c r="DG399" s="79">
        <f t="shared" si="1595"/>
        <v>240108.8045</v>
      </c>
      <c r="DH399" s="51">
        <f t="shared" si="1596"/>
        <v>457288.06500000006</v>
      </c>
      <c r="DI399" s="39"/>
      <c r="DJ399" s="80" t="e">
        <f t="shared" si="1597"/>
        <v>#REF!</v>
      </c>
      <c r="DK399" s="39" t="e">
        <f t="shared" si="1598"/>
        <v>#REF!</v>
      </c>
      <c r="DL399" s="39" t="e">
        <f t="shared" si="1599"/>
        <v>#REF!</v>
      </c>
      <c r="DM399" s="48">
        <f>+AT399-'[2]тарифы (12-13) население 15%'!AP511</f>
        <v>0</v>
      </c>
      <c r="DN399" s="39"/>
      <c r="DO399" s="39"/>
      <c r="DP399" s="39"/>
      <c r="DQ399" s="39"/>
      <c r="DR399" s="39"/>
      <c r="DS399" s="198"/>
      <c r="DT399" s="39"/>
      <c r="DU399" s="19">
        <f t="shared" si="1490"/>
        <v>267265.10593220335</v>
      </c>
      <c r="DV399" s="40">
        <f>+(BG399*AZ399)/1.18</f>
        <v>278447.23220338981</v>
      </c>
      <c r="DW399" s="40">
        <f t="shared" si="1550"/>
        <v>278398.07999999996</v>
      </c>
      <c r="DX399" s="46"/>
      <c r="DY399" s="21">
        <f t="shared" si="1491"/>
        <v>100.01765536723164</v>
      </c>
      <c r="DZ399" s="19">
        <f t="shared" si="1492"/>
        <v>479.15972700000003</v>
      </c>
      <c r="EA399" s="19">
        <f t="shared" si="1493"/>
        <v>499.17887999999999</v>
      </c>
      <c r="EB399" s="19"/>
      <c r="EC399" s="48"/>
      <c r="ED399" s="48"/>
      <c r="EE399" s="22">
        <v>19.2</v>
      </c>
      <c r="EF399" s="22">
        <v>20.8</v>
      </c>
      <c r="EG399" s="22">
        <f t="shared" si="1494"/>
        <v>108.33333333333334</v>
      </c>
      <c r="EH399" s="22">
        <v>22.66</v>
      </c>
      <c r="EI399" s="22">
        <v>24.54</v>
      </c>
      <c r="EJ399" s="22">
        <f t="shared" si="1495"/>
        <v>108.29655781112091</v>
      </c>
      <c r="EK399" s="240" t="s">
        <v>512</v>
      </c>
      <c r="EL399" s="19">
        <v>23786.3</v>
      </c>
      <c r="EM399" s="19">
        <v>13201.6</v>
      </c>
      <c r="EN399" s="146">
        <f t="shared" si="1439"/>
        <v>274548.52881355933</v>
      </c>
      <c r="EO399" s="146">
        <f t="shared" si="1440"/>
        <v>274593.28000000003</v>
      </c>
      <c r="EP399" s="146"/>
      <c r="EQ399" s="21">
        <f t="shared" si="1496"/>
        <v>99.983702737940021</v>
      </c>
      <c r="ER399" s="21"/>
      <c r="ES399" s="21">
        <f t="shared" si="1441"/>
        <v>456696.95999999996</v>
      </c>
      <c r="ET399" s="21"/>
      <c r="EU399" s="19">
        <f t="shared" si="1429"/>
        <v>494755.04</v>
      </c>
      <c r="EV399" s="21"/>
      <c r="EW399" s="39"/>
      <c r="EX399" s="39">
        <f t="shared" si="1600"/>
        <v>499178.88</v>
      </c>
      <c r="EY399" s="39">
        <f t="shared" si="1499"/>
        <v>540777.12</v>
      </c>
      <c r="EZ399" s="39"/>
      <c r="FA399" s="39"/>
      <c r="FB399" s="39"/>
      <c r="FC399" s="39"/>
      <c r="FD399" s="39"/>
      <c r="FE399" s="39"/>
      <c r="FF399" s="39"/>
      <c r="FG399" s="39"/>
      <c r="FH399" s="39"/>
      <c r="FI399" s="39"/>
      <c r="FJ399" s="19"/>
      <c r="FK399" s="19"/>
      <c r="FL399" s="19">
        <f t="shared" si="1430"/>
        <v>0</v>
      </c>
      <c r="FM399" s="19">
        <v>21929.99</v>
      </c>
      <c r="FN399" s="19">
        <v>12043.245000000001</v>
      </c>
      <c r="FO399" s="22">
        <v>28.16</v>
      </c>
      <c r="FP399" s="22">
        <v>28.58</v>
      </c>
      <c r="FQ399" s="22"/>
      <c r="FR399" s="22">
        <v>33.79</v>
      </c>
      <c r="FS399" s="22">
        <v>34.299999999999997</v>
      </c>
      <c r="FT399" s="22"/>
      <c r="FU399" s="241" t="s">
        <v>666</v>
      </c>
      <c r="FV399" s="19"/>
      <c r="FW399" s="19"/>
      <c r="FX399" s="19"/>
      <c r="FY399" s="19"/>
      <c r="FZ399" s="19"/>
      <c r="GA399" s="19"/>
      <c r="GB399" s="19"/>
      <c r="GC399" s="20"/>
      <c r="GD399" s="20"/>
      <c r="GE399" s="21"/>
      <c r="GF399" s="21"/>
      <c r="GG399" s="21"/>
      <c r="GH399" s="21"/>
      <c r="GI399" s="21"/>
      <c r="GJ399" s="21"/>
      <c r="GK399" s="21"/>
      <c r="GL399" s="21"/>
      <c r="GM399" s="19"/>
      <c r="GN399" s="19"/>
      <c r="GO399" s="22">
        <v>28.58</v>
      </c>
      <c r="GP399" s="22">
        <v>29.54</v>
      </c>
      <c r="GQ399" s="22"/>
      <c r="GR399" s="22">
        <v>34.299999999999997</v>
      </c>
      <c r="GS399" s="22">
        <v>35.450000000000003</v>
      </c>
      <c r="GT399" s="22"/>
      <c r="GU399" s="241" t="s">
        <v>666</v>
      </c>
      <c r="GV399" s="19"/>
      <c r="GW399" s="19"/>
      <c r="GX399" s="19"/>
      <c r="GY399" s="19"/>
      <c r="GZ399" s="23"/>
      <c r="HA399" s="22">
        <v>29.54</v>
      </c>
      <c r="HB399" s="22">
        <v>30.26</v>
      </c>
      <c r="HC399" s="22"/>
      <c r="HD399" s="22">
        <v>35.450000000000003</v>
      </c>
      <c r="HE399" s="22">
        <v>36.31</v>
      </c>
      <c r="HF399" s="22"/>
      <c r="HG399" s="241" t="s">
        <v>666</v>
      </c>
    </row>
    <row r="400" spans="2:215" ht="15.75">
      <c r="B400" s="10"/>
      <c r="C400" s="184" t="s">
        <v>249</v>
      </c>
      <c r="D400" s="188">
        <f>+E400+I400</f>
        <v>29515000</v>
      </c>
      <c r="E400" s="46">
        <v>23440000</v>
      </c>
      <c r="F400" s="74" t="e">
        <f>+E400*#REF!</f>
        <v>#REF!</v>
      </c>
      <c r="G400" s="74" t="e">
        <f>+E400*#REF!</f>
        <v>#REF!</v>
      </c>
      <c r="H400" s="74" t="e">
        <f>+E400*#REF!</f>
        <v>#REF!</v>
      </c>
      <c r="I400" s="46">
        <f>2732000+3343000</f>
        <v>6075000</v>
      </c>
      <c r="J400" s="73" t="e">
        <f>+I400*#REF!</f>
        <v>#REF!</v>
      </c>
      <c r="K400" s="73" t="e">
        <f>+I400*#REF!</f>
        <v>#REF!</v>
      </c>
      <c r="L400" s="73" t="e">
        <f>+I400*#REF!</f>
        <v>#REF!</v>
      </c>
      <c r="M400" s="73">
        <f t="shared" si="1500"/>
        <v>24779300</v>
      </c>
      <c r="N400" s="73">
        <v>19472700</v>
      </c>
      <c r="O400" s="74">
        <v>9736350</v>
      </c>
      <c r="P400" s="74"/>
      <c r="Q400" s="74">
        <v>9736350</v>
      </c>
      <c r="R400" s="73">
        <f>1823600+3483000</f>
        <v>5306600</v>
      </c>
      <c r="S400" s="74">
        <v>2653300</v>
      </c>
      <c r="T400" s="74"/>
      <c r="U400" s="74">
        <v>2653300</v>
      </c>
      <c r="V400" s="52">
        <v>10.67</v>
      </c>
      <c r="W400" s="52">
        <v>10.67</v>
      </c>
      <c r="X400" s="52">
        <f t="shared" si="1551"/>
        <v>100</v>
      </c>
      <c r="Y400" s="22">
        <v>11.3</v>
      </c>
      <c r="Z400" s="22">
        <f t="shared" si="1552"/>
        <v>105.90440487347705</v>
      </c>
      <c r="AA400" s="52">
        <v>11.92</v>
      </c>
      <c r="AB400" s="22">
        <f t="shared" si="1553"/>
        <v>105.4867256637168</v>
      </c>
      <c r="AC400" s="52">
        <v>11.92</v>
      </c>
      <c r="AD400" s="52">
        <v>11.92</v>
      </c>
      <c r="AE400" s="22">
        <f t="shared" si="1460"/>
        <v>110.73825503355704</v>
      </c>
      <c r="AF400" s="22">
        <v>13.2</v>
      </c>
      <c r="AG400" s="22">
        <f t="shared" si="1504"/>
        <v>110.73825503355704</v>
      </c>
      <c r="AH400" s="52">
        <v>12.59</v>
      </c>
      <c r="AI400" s="52">
        <v>12.59</v>
      </c>
      <c r="AJ400" s="52">
        <f t="shared" si="1554"/>
        <v>100</v>
      </c>
      <c r="AK400" s="52">
        <v>13.33</v>
      </c>
      <c r="AL400" s="22">
        <f t="shared" si="1555"/>
        <v>105.87768069896744</v>
      </c>
      <c r="AM400" s="52">
        <v>14.07</v>
      </c>
      <c r="AN400" s="22">
        <f t="shared" si="1556"/>
        <v>105.55138784696175</v>
      </c>
      <c r="AO400" s="22">
        <f t="shared" si="1557"/>
        <v>111.71508903467667</v>
      </c>
      <c r="AP400" s="22">
        <f t="shared" si="1558"/>
        <v>111.75536139793488</v>
      </c>
      <c r="AQ400" s="22">
        <v>14.07</v>
      </c>
      <c r="AR400" s="22">
        <v>14.07</v>
      </c>
      <c r="AS400" s="22">
        <f t="shared" si="1461"/>
        <v>110.73205401563611</v>
      </c>
      <c r="AT400" s="22">
        <v>15.58</v>
      </c>
      <c r="AU400" s="22">
        <f t="shared" si="1459"/>
        <v>110.73205401563611</v>
      </c>
      <c r="AV400" s="77"/>
      <c r="AW400" s="77">
        <f t="shared" si="1559"/>
        <v>48.457037841367153</v>
      </c>
      <c r="AX400" s="239"/>
      <c r="AY400" s="22">
        <f t="shared" si="1462"/>
        <v>24175.399999999998</v>
      </c>
      <c r="AZ400" s="22">
        <f>+[4]БПр!$O$1362/1000</f>
        <v>18717.5</v>
      </c>
      <c r="BA400" s="22">
        <f>+[4]БПр!$N$1362/1000</f>
        <v>1756.1</v>
      </c>
      <c r="BB400" s="22">
        <f>+[4]БПр!$P$1362/1000</f>
        <v>3701.8000000000006</v>
      </c>
      <c r="BC400" s="22">
        <v>13.2</v>
      </c>
      <c r="BD400" s="22">
        <v>13.75</v>
      </c>
      <c r="BE400" s="22">
        <f t="shared" si="1463"/>
        <v>104.16666666666667</v>
      </c>
      <c r="BF400" s="22">
        <v>15.58</v>
      </c>
      <c r="BG400" s="22">
        <v>16.23</v>
      </c>
      <c r="BH400" s="22">
        <f t="shared" si="1464"/>
        <v>104.17201540436459</v>
      </c>
      <c r="BI400" s="22"/>
      <c r="BJ400" s="240"/>
      <c r="BK400" s="19">
        <f t="shared" si="1465"/>
        <v>314913.13135593222</v>
      </c>
      <c r="BL400" s="19">
        <f t="shared" si="1560"/>
        <v>250092.88135593222</v>
      </c>
      <c r="BM400" s="19">
        <f t="shared" si="1561"/>
        <v>0</v>
      </c>
      <c r="BN400" s="19">
        <f t="shared" si="1562"/>
        <v>64820.25</v>
      </c>
      <c r="BO400" s="19">
        <f t="shared" si="1466"/>
        <v>333440.04237288138</v>
      </c>
      <c r="BP400" s="19">
        <f t="shared" si="1563"/>
        <v>264792.54237288138</v>
      </c>
      <c r="BQ400" s="19">
        <f t="shared" si="1564"/>
        <v>0</v>
      </c>
      <c r="BR400" s="19">
        <f t="shared" si="1565"/>
        <v>68647.5</v>
      </c>
      <c r="BS400" s="19">
        <f t="shared" si="1467"/>
        <v>351906.20338983054</v>
      </c>
      <c r="BT400" s="19">
        <f t="shared" si="1566"/>
        <v>279492.20338983054</v>
      </c>
      <c r="BU400" s="19">
        <f t="shared" si="1567"/>
        <v>0</v>
      </c>
      <c r="BV400" s="19">
        <f t="shared" si="1568"/>
        <v>72414</v>
      </c>
      <c r="BW400" s="19">
        <f t="shared" si="1515"/>
        <v>295441.86606779665</v>
      </c>
      <c r="BX400" s="19">
        <f t="shared" si="1569"/>
        <v>232187.19406779663</v>
      </c>
      <c r="BY400" s="19"/>
      <c r="BZ400" s="19">
        <f t="shared" si="1570"/>
        <v>63254.671999999999</v>
      </c>
      <c r="CA400" s="19">
        <f t="shared" si="1518"/>
        <v>327152.76915254234</v>
      </c>
      <c r="CB400" s="19">
        <f t="shared" si="1571"/>
        <v>257105.64915254238</v>
      </c>
      <c r="CC400" s="19"/>
      <c r="CD400" s="19">
        <f t="shared" si="1572"/>
        <v>70047.12</v>
      </c>
      <c r="CE400" s="48">
        <f t="shared" si="1573"/>
        <v>12.215024686239776</v>
      </c>
      <c r="CF400" s="48">
        <f t="shared" si="1574"/>
        <v>11.299999999999999</v>
      </c>
      <c r="CG400" s="48">
        <f t="shared" si="1575"/>
        <v>11.92</v>
      </c>
      <c r="CH400" s="48">
        <f t="shared" si="1576"/>
        <v>12.589999999999998</v>
      </c>
      <c r="CI400" s="48">
        <f t="shared" si="1577"/>
        <v>13.330000000000002</v>
      </c>
      <c r="CJ400" s="48">
        <f t="shared" si="1578"/>
        <v>14.07</v>
      </c>
      <c r="CK400" s="48">
        <f t="shared" si="1579"/>
        <v>10.669596183497617</v>
      </c>
      <c r="CL400" s="48">
        <f t="shared" si="1580"/>
        <v>11.297307889984122</v>
      </c>
      <c r="CM400" s="48">
        <f t="shared" si="1581"/>
        <v>11.922961321017468</v>
      </c>
      <c r="CN400" s="48">
        <f t="shared" si="1582"/>
        <v>11.296621798166404</v>
      </c>
      <c r="CO400" s="48">
        <f t="shared" si="1583"/>
        <v>11.92</v>
      </c>
      <c r="CP400" s="48">
        <f t="shared" si="1584"/>
        <v>13.2</v>
      </c>
      <c r="CQ400" s="48">
        <f t="shared" si="1585"/>
        <v>14.07</v>
      </c>
      <c r="CR400" s="48">
        <f t="shared" si="1586"/>
        <v>15.58</v>
      </c>
      <c r="CS400" s="48">
        <f t="shared" si="1587"/>
        <v>11.922930271145539</v>
      </c>
      <c r="CT400" s="48">
        <f t="shared" si="1588"/>
        <v>13.202663882859579</v>
      </c>
      <c r="CU400" s="48">
        <f t="shared" si="1589"/>
        <v>12.562797077002559</v>
      </c>
      <c r="CV400" s="48">
        <f t="shared" si="1424"/>
        <v>111.20844179311796</v>
      </c>
      <c r="CW400" s="19" t="e">
        <f t="shared" si="1590"/>
        <v>#REF!</v>
      </c>
      <c r="CX400" s="19" t="e">
        <f t="shared" si="1591"/>
        <v>#REF!</v>
      </c>
      <c r="CY400" s="19">
        <f t="shared" si="1592"/>
        <v>244646.42161016949</v>
      </c>
      <c r="CZ400" s="19">
        <f t="shared" si="1593"/>
        <v>244577.11199999999</v>
      </c>
      <c r="DA400" s="21" t="e">
        <f t="shared" si="1542"/>
        <v>#REF!</v>
      </c>
      <c r="DB400" s="21">
        <f t="shared" si="1543"/>
        <v>100.0283385512253</v>
      </c>
      <c r="DC400" s="79" t="e">
        <f t="shared" si="1425"/>
        <v>#REF!</v>
      </c>
      <c r="DD400" s="79" t="e">
        <f t="shared" si="1425"/>
        <v>#REF!</v>
      </c>
      <c r="DE400" s="79">
        <f t="shared" si="1594"/>
        <v>147684.628</v>
      </c>
      <c r="DF400" s="79">
        <f t="shared" si="1594"/>
        <v>0</v>
      </c>
      <c r="DG400" s="79">
        <f t="shared" si="1595"/>
        <v>163543.38</v>
      </c>
      <c r="DH400" s="51">
        <f t="shared" si="1596"/>
        <v>311228.00800000003</v>
      </c>
      <c r="DI400" s="39"/>
      <c r="DJ400" s="80" t="e">
        <f t="shared" si="1597"/>
        <v>#REF!</v>
      </c>
      <c r="DK400" s="39" t="e">
        <f t="shared" si="1598"/>
        <v>#REF!</v>
      </c>
      <c r="DL400" s="39" t="e">
        <f t="shared" si="1599"/>
        <v>#REF!</v>
      </c>
      <c r="DM400" s="48">
        <f>+AT400-'[2]тарифы (12-13) население 15%'!AP512</f>
        <v>0</v>
      </c>
      <c r="DN400" s="39"/>
      <c r="DO400" s="39"/>
      <c r="DP400" s="39"/>
      <c r="DQ400" s="39"/>
      <c r="DR400" s="39"/>
      <c r="DS400" s="39"/>
      <c r="DT400" s="39"/>
      <c r="DU400" s="19">
        <f t="shared" si="1490"/>
        <v>247134.44915254239</v>
      </c>
      <c r="DV400" s="40">
        <f t="shared" si="1549"/>
        <v>257444.93644067799</v>
      </c>
      <c r="DW400" s="40">
        <f t="shared" si="1550"/>
        <v>257365.625</v>
      </c>
      <c r="DX400" s="46"/>
      <c r="DY400" s="21">
        <f t="shared" si="1491"/>
        <v>100.03081664098615</v>
      </c>
      <c r="DZ400" s="19">
        <f t="shared" si="1492"/>
        <v>319.11527999999998</v>
      </c>
      <c r="EA400" s="19">
        <f t="shared" si="1493"/>
        <v>332.41174999999993</v>
      </c>
      <c r="EB400" s="19"/>
      <c r="EC400" s="48"/>
      <c r="ED400" s="48"/>
      <c r="EE400" s="22">
        <v>13.75</v>
      </c>
      <c r="EF400" s="22">
        <v>14.91</v>
      </c>
      <c r="EG400" s="22">
        <f t="shared" si="1494"/>
        <v>108.43636363636364</v>
      </c>
      <c r="EH400" s="22">
        <v>16.23</v>
      </c>
      <c r="EI400" s="22">
        <v>17.59</v>
      </c>
      <c r="EJ400" s="22">
        <f t="shared" si="1495"/>
        <v>108.37954405422056</v>
      </c>
      <c r="EK400" s="240"/>
      <c r="EL400" s="19">
        <v>21871.5</v>
      </c>
      <c r="EM400" s="19">
        <v>16636.5</v>
      </c>
      <c r="EN400" s="146">
        <f t="shared" si="1439"/>
        <v>247996.63983050847</v>
      </c>
      <c r="EO400" s="146">
        <f t="shared" si="1440"/>
        <v>248050.215</v>
      </c>
      <c r="EP400" s="146"/>
      <c r="EQ400" s="21">
        <f t="shared" si="1496"/>
        <v>99.978401482340374</v>
      </c>
      <c r="ER400" s="21"/>
      <c r="ES400" s="21">
        <f t="shared" si="1441"/>
        <v>300733.125</v>
      </c>
      <c r="ET400" s="21"/>
      <c r="EU400" s="19">
        <f t="shared" si="1429"/>
        <v>326104.065</v>
      </c>
      <c r="EV400" s="21"/>
      <c r="EW400" s="39"/>
      <c r="EX400" s="39">
        <f t="shared" si="1600"/>
        <v>332411.74999999994</v>
      </c>
      <c r="EY400" s="39">
        <f t="shared" si="1499"/>
        <v>360455.21399999998</v>
      </c>
      <c r="EZ400" s="39"/>
      <c r="FA400" s="39"/>
      <c r="FB400" s="39"/>
      <c r="FC400" s="39"/>
      <c r="FD400" s="39"/>
      <c r="FE400" s="39"/>
      <c r="FF400" s="39"/>
      <c r="FG400" s="39"/>
      <c r="FH400" s="39"/>
      <c r="FI400" s="39"/>
      <c r="FJ400" s="19"/>
      <c r="FK400" s="19"/>
      <c r="FL400" s="19">
        <f t="shared" ref="FL400:FL411" si="1601">+FJ400+FK400</f>
        <v>0</v>
      </c>
      <c r="FM400" s="19">
        <v>19950.57</v>
      </c>
      <c r="FN400" s="19">
        <v>14975.42</v>
      </c>
      <c r="FO400" s="22">
        <v>27.48</v>
      </c>
      <c r="FP400" s="22">
        <v>27.89</v>
      </c>
      <c r="FQ400" s="22"/>
      <c r="FR400" s="22">
        <v>32.979999999999997</v>
      </c>
      <c r="FS400" s="22">
        <v>33.47</v>
      </c>
      <c r="FT400" s="22"/>
      <c r="FU400" s="240"/>
      <c r="FV400" s="19"/>
      <c r="FW400" s="148"/>
      <c r="FX400" s="19"/>
      <c r="FY400" s="19"/>
      <c r="FZ400" s="19"/>
      <c r="GA400" s="19"/>
      <c r="GB400" s="19"/>
      <c r="GC400" s="20"/>
      <c r="GD400" s="20"/>
      <c r="GE400" s="21"/>
      <c r="GF400" s="21"/>
      <c r="GG400" s="21"/>
      <c r="GH400" s="21"/>
      <c r="GI400" s="21"/>
      <c r="GJ400" s="21"/>
      <c r="GK400" s="21"/>
      <c r="GL400" s="21"/>
      <c r="GM400" s="19"/>
      <c r="GN400" s="19"/>
      <c r="GO400" s="22">
        <v>27.89</v>
      </c>
      <c r="GP400" s="22">
        <v>31.99</v>
      </c>
      <c r="GQ400" s="22"/>
      <c r="GR400" s="22">
        <v>33.47</v>
      </c>
      <c r="GS400" s="22">
        <v>38.39</v>
      </c>
      <c r="GT400" s="22"/>
      <c r="GU400" s="240"/>
      <c r="GV400" s="19"/>
      <c r="GW400" s="148"/>
      <c r="GX400" s="19"/>
      <c r="GY400" s="19"/>
      <c r="GZ400" s="23"/>
      <c r="HA400" s="22">
        <v>31.99</v>
      </c>
      <c r="HB400" s="22">
        <v>32.840000000000003</v>
      </c>
      <c r="HC400" s="22"/>
      <c r="HD400" s="22">
        <v>38.39</v>
      </c>
      <c r="HE400" s="22">
        <v>39.409999999999997</v>
      </c>
      <c r="HF400" s="22"/>
      <c r="HG400" s="240"/>
    </row>
    <row r="401" spans="1:215" ht="15.6" customHeight="1">
      <c r="B401" s="10"/>
      <c r="C401" s="184" t="s">
        <v>524</v>
      </c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  <c r="R401" s="73"/>
      <c r="S401" s="73"/>
      <c r="T401" s="73"/>
      <c r="U401" s="73"/>
      <c r="V401" s="39"/>
      <c r="W401" s="39"/>
      <c r="X401" s="52"/>
      <c r="Y401" s="39"/>
      <c r="Z401" s="22"/>
      <c r="AA401" s="39"/>
      <c r="AB401" s="22"/>
      <c r="AC401" s="22"/>
      <c r="AD401" s="22"/>
      <c r="AE401" s="22"/>
      <c r="AF401" s="22"/>
      <c r="AG401" s="22"/>
      <c r="AH401" s="39"/>
      <c r="AI401" s="39"/>
      <c r="AJ401" s="52"/>
      <c r="AK401" s="39"/>
      <c r="AL401" s="22"/>
      <c r="AM401" s="39"/>
      <c r="AN401" s="22"/>
      <c r="AO401" s="22"/>
      <c r="AP401" s="22"/>
      <c r="AQ401" s="22"/>
      <c r="AR401" s="22"/>
      <c r="AS401" s="22"/>
      <c r="AT401" s="22"/>
      <c r="AU401" s="22"/>
      <c r="AV401" s="77"/>
      <c r="AW401" s="77"/>
      <c r="AX401" s="78"/>
      <c r="AY401" s="22"/>
      <c r="AZ401" s="22"/>
      <c r="BA401" s="22"/>
      <c r="BB401" s="22"/>
      <c r="BC401" s="22"/>
      <c r="BD401" s="22"/>
      <c r="BE401" s="22"/>
      <c r="BF401" s="22"/>
      <c r="BG401" s="22"/>
      <c r="BH401" s="22"/>
      <c r="BI401" s="22"/>
      <c r="BJ401" s="40"/>
      <c r="BK401" s="19"/>
      <c r="BL401" s="19"/>
      <c r="BM401" s="19"/>
      <c r="BN401" s="19"/>
      <c r="BO401" s="19"/>
      <c r="BP401" s="19"/>
      <c r="BQ401" s="19"/>
      <c r="BR401" s="19"/>
      <c r="BS401" s="19"/>
      <c r="BT401" s="19"/>
      <c r="BU401" s="19"/>
      <c r="BV401" s="19"/>
      <c r="BW401" s="19"/>
      <c r="BX401" s="19"/>
      <c r="BY401" s="19"/>
      <c r="BZ401" s="19"/>
      <c r="CA401" s="19"/>
      <c r="CB401" s="19"/>
      <c r="CC401" s="19"/>
      <c r="CD401" s="19"/>
      <c r="CE401" s="48"/>
      <c r="CF401" s="48"/>
      <c r="CG401" s="48"/>
      <c r="CH401" s="48"/>
      <c r="CI401" s="48"/>
      <c r="CJ401" s="48"/>
      <c r="CK401" s="48"/>
      <c r="CL401" s="48"/>
      <c r="CM401" s="48"/>
      <c r="CN401" s="48"/>
      <c r="CO401" s="48"/>
      <c r="CP401" s="48"/>
      <c r="CQ401" s="48"/>
      <c r="CR401" s="48"/>
      <c r="CS401" s="48"/>
      <c r="CT401" s="48"/>
      <c r="CU401" s="48"/>
      <c r="CV401" s="48"/>
      <c r="CW401" s="19"/>
      <c r="CX401" s="19"/>
      <c r="CY401" s="19"/>
      <c r="CZ401" s="19"/>
      <c r="DA401" s="21"/>
      <c r="DB401" s="21"/>
      <c r="DC401" s="79"/>
      <c r="DD401" s="79"/>
      <c r="DE401" s="79"/>
      <c r="DF401" s="79"/>
      <c r="DG401" s="79"/>
      <c r="DH401" s="51"/>
      <c r="DI401" s="39"/>
      <c r="DJ401" s="80"/>
      <c r="DK401" s="39"/>
      <c r="DL401" s="39"/>
      <c r="DM401" s="48"/>
      <c r="DN401" s="39"/>
      <c r="DO401" s="39"/>
      <c r="DP401" s="39"/>
      <c r="DQ401" s="39"/>
      <c r="DR401" s="39"/>
      <c r="DS401" s="39"/>
      <c r="DT401" s="39"/>
      <c r="DU401" s="19"/>
      <c r="DV401" s="40"/>
      <c r="DW401" s="40"/>
      <c r="DX401" s="46"/>
      <c r="DY401" s="21"/>
      <c r="DZ401" s="19"/>
      <c r="EA401" s="19"/>
      <c r="EB401" s="19"/>
      <c r="EC401" s="48"/>
      <c r="ED401" s="48"/>
      <c r="EE401" s="22"/>
      <c r="EF401" s="22"/>
      <c r="EG401" s="22"/>
      <c r="EH401" s="22"/>
      <c r="EI401" s="22"/>
      <c r="EJ401" s="22"/>
      <c r="EK401" s="40"/>
      <c r="EL401" s="19"/>
      <c r="EM401" s="19"/>
      <c r="EN401" s="146"/>
      <c r="EO401" s="146"/>
      <c r="EP401" s="146"/>
      <c r="EQ401" s="21"/>
      <c r="ER401" s="21"/>
      <c r="ES401" s="21"/>
      <c r="ET401" s="21"/>
      <c r="EU401" s="19"/>
      <c r="EV401" s="21"/>
      <c r="EW401" s="39"/>
      <c r="EX401" s="39"/>
      <c r="EY401" s="39"/>
      <c r="EZ401" s="39"/>
      <c r="FA401" s="39"/>
      <c r="FB401" s="39"/>
      <c r="FC401" s="39"/>
      <c r="FD401" s="39"/>
      <c r="FE401" s="39"/>
      <c r="FF401" s="39"/>
      <c r="FG401" s="39"/>
      <c r="FH401" s="39"/>
      <c r="FI401" s="39"/>
      <c r="FJ401" s="19"/>
      <c r="FK401" s="19"/>
      <c r="FL401" s="19"/>
      <c r="FM401" s="19"/>
      <c r="FN401" s="19"/>
      <c r="FO401" s="22">
        <v>20.84</v>
      </c>
      <c r="FP401" s="22">
        <v>19.45</v>
      </c>
      <c r="FQ401" s="22"/>
      <c r="FR401" s="22" t="s">
        <v>633</v>
      </c>
      <c r="FS401" s="22" t="s">
        <v>633</v>
      </c>
      <c r="FT401" s="22"/>
      <c r="FU401" s="40" t="s">
        <v>706</v>
      </c>
      <c r="FV401" s="19"/>
      <c r="FW401" s="19"/>
      <c r="FX401" s="19"/>
      <c r="FY401" s="19"/>
      <c r="FZ401" s="19"/>
      <c r="GA401" s="19"/>
      <c r="GB401" s="19"/>
      <c r="GC401" s="20"/>
      <c r="GD401" s="20"/>
      <c r="GE401" s="21"/>
      <c r="GF401" s="21"/>
      <c r="GG401" s="21"/>
      <c r="GH401" s="21"/>
      <c r="GI401" s="21"/>
      <c r="GJ401" s="21"/>
      <c r="GK401" s="21"/>
      <c r="GL401" s="21"/>
      <c r="GM401" s="19"/>
      <c r="GN401" s="19"/>
      <c r="GO401" s="22">
        <v>21.88</v>
      </c>
      <c r="GP401" s="22">
        <v>21.95</v>
      </c>
      <c r="GQ401" s="22"/>
      <c r="GR401" s="22" t="s">
        <v>633</v>
      </c>
      <c r="GS401" s="22" t="s">
        <v>633</v>
      </c>
      <c r="GT401" s="22"/>
      <c r="GU401" s="40" t="s">
        <v>706</v>
      </c>
      <c r="GV401" s="19"/>
      <c r="GW401" s="19"/>
      <c r="GX401" s="19"/>
      <c r="GY401" s="19"/>
      <c r="GZ401" s="23"/>
      <c r="HA401" s="22" t="s">
        <v>633</v>
      </c>
      <c r="HB401" s="22" t="s">
        <v>633</v>
      </c>
      <c r="HC401" s="22"/>
      <c r="HD401" s="22" t="s">
        <v>633</v>
      </c>
      <c r="HE401" s="22" t="s">
        <v>633</v>
      </c>
      <c r="HF401" s="22"/>
      <c r="HG401" s="233" t="s">
        <v>633</v>
      </c>
    </row>
    <row r="402" spans="1:215" ht="15.75">
      <c r="B402" s="10" t="s">
        <v>513</v>
      </c>
      <c r="C402" s="174" t="s">
        <v>514</v>
      </c>
      <c r="D402" s="73"/>
      <c r="E402" s="73"/>
      <c r="F402" s="73"/>
      <c r="G402" s="73"/>
      <c r="H402" s="73"/>
      <c r="I402" s="73"/>
      <c r="J402" s="73"/>
      <c r="K402" s="73"/>
      <c r="L402" s="73"/>
      <c r="M402" s="73">
        <f t="shared" si="1500"/>
        <v>0</v>
      </c>
      <c r="N402" s="73">
        <f t="shared" si="1501"/>
        <v>0</v>
      </c>
      <c r="O402" s="73"/>
      <c r="P402" s="73"/>
      <c r="Q402" s="73"/>
      <c r="R402" s="73">
        <f t="shared" si="1502"/>
        <v>0</v>
      </c>
      <c r="S402" s="73"/>
      <c r="T402" s="73"/>
      <c r="U402" s="73"/>
      <c r="V402" s="52"/>
      <c r="W402" s="52"/>
      <c r="X402" s="52">
        <f t="shared" si="1551"/>
        <v>0</v>
      </c>
      <c r="Y402" s="52"/>
      <c r="Z402" s="22">
        <f t="shared" si="1552"/>
        <v>0</v>
      </c>
      <c r="AA402" s="52"/>
      <c r="AB402" s="22">
        <f t="shared" si="1553"/>
        <v>0</v>
      </c>
      <c r="AC402" s="22"/>
      <c r="AD402" s="22"/>
      <c r="AE402" s="22">
        <f t="shared" si="1460"/>
        <v>0</v>
      </c>
      <c r="AF402" s="22"/>
      <c r="AG402" s="22">
        <f t="shared" si="1504"/>
        <v>0</v>
      </c>
      <c r="AH402" s="52"/>
      <c r="AI402" s="52"/>
      <c r="AJ402" s="52"/>
      <c r="AK402" s="52"/>
      <c r="AL402" s="22"/>
      <c r="AM402" s="52"/>
      <c r="AN402" s="22"/>
      <c r="AO402" s="22"/>
      <c r="AP402" s="22"/>
      <c r="AQ402" s="22"/>
      <c r="AR402" s="22"/>
      <c r="AS402" s="22">
        <f t="shared" si="1461"/>
        <v>0</v>
      </c>
      <c r="AT402" s="22"/>
      <c r="AU402" s="22">
        <f t="shared" si="1459"/>
        <v>0</v>
      </c>
      <c r="AV402" s="77"/>
      <c r="AW402" s="77">
        <f>+CY402/$CY$375*100</f>
        <v>0</v>
      </c>
      <c r="AX402" s="78"/>
      <c r="AY402" s="22">
        <f t="shared" si="1462"/>
        <v>0</v>
      </c>
      <c r="AZ402" s="22"/>
      <c r="BA402" s="22"/>
      <c r="BB402" s="22"/>
      <c r="BC402" s="22"/>
      <c r="BD402" s="22"/>
      <c r="BE402" s="22">
        <f t="shared" si="1463"/>
        <v>0</v>
      </c>
      <c r="BF402" s="22"/>
      <c r="BG402" s="22"/>
      <c r="BH402" s="22">
        <f t="shared" si="1464"/>
        <v>0</v>
      </c>
      <c r="BI402" s="22"/>
      <c r="BJ402" s="40"/>
      <c r="BK402" s="19">
        <f t="shared" si="1465"/>
        <v>0</v>
      </c>
      <c r="BL402" s="19">
        <f t="shared" si="1560"/>
        <v>0</v>
      </c>
      <c r="BM402" s="19">
        <f t="shared" si="1561"/>
        <v>0</v>
      </c>
      <c r="BN402" s="19">
        <f t="shared" si="1562"/>
        <v>0</v>
      </c>
      <c r="BO402" s="19">
        <f t="shared" si="1466"/>
        <v>0</v>
      </c>
      <c r="BP402" s="19">
        <f t="shared" si="1563"/>
        <v>0</v>
      </c>
      <c r="BQ402" s="19">
        <f t="shared" si="1564"/>
        <v>0</v>
      </c>
      <c r="BR402" s="19">
        <f t="shared" si="1565"/>
        <v>0</v>
      </c>
      <c r="BS402" s="19">
        <f t="shared" si="1467"/>
        <v>0</v>
      </c>
      <c r="BT402" s="19">
        <f t="shared" si="1566"/>
        <v>0</v>
      </c>
      <c r="BU402" s="19">
        <f t="shared" si="1567"/>
        <v>0</v>
      </c>
      <c r="BV402" s="19">
        <f t="shared" si="1568"/>
        <v>0</v>
      </c>
      <c r="BW402" s="19">
        <f t="shared" si="1515"/>
        <v>0</v>
      </c>
      <c r="BX402" s="19">
        <f t="shared" si="1569"/>
        <v>0</v>
      </c>
      <c r="BY402" s="19"/>
      <c r="BZ402" s="19">
        <f t="shared" si="1570"/>
        <v>0</v>
      </c>
      <c r="CA402" s="19">
        <f t="shared" si="1518"/>
        <v>0</v>
      </c>
      <c r="CB402" s="19">
        <f t="shared" si="1571"/>
        <v>0</v>
      </c>
      <c r="CC402" s="19"/>
      <c r="CD402" s="19">
        <f t="shared" si="1572"/>
        <v>0</v>
      </c>
      <c r="CE402" s="48">
        <f t="shared" si="1573"/>
        <v>0</v>
      </c>
      <c r="CF402" s="48">
        <f t="shared" si="1574"/>
        <v>0</v>
      </c>
      <c r="CG402" s="48">
        <f t="shared" si="1575"/>
        <v>0</v>
      </c>
      <c r="CH402" s="48">
        <f t="shared" si="1576"/>
        <v>0</v>
      </c>
      <c r="CI402" s="48">
        <f t="shared" si="1577"/>
        <v>0</v>
      </c>
      <c r="CJ402" s="48">
        <f t="shared" si="1578"/>
        <v>0</v>
      </c>
      <c r="CK402" s="48">
        <f t="shared" si="1579"/>
        <v>0</v>
      </c>
      <c r="CL402" s="48">
        <f t="shared" si="1580"/>
        <v>0</v>
      </c>
      <c r="CM402" s="48">
        <f t="shared" si="1581"/>
        <v>0</v>
      </c>
      <c r="CN402" s="48">
        <f t="shared" si="1582"/>
        <v>0</v>
      </c>
      <c r="CO402" s="48">
        <f t="shared" si="1583"/>
        <v>0</v>
      </c>
      <c r="CP402" s="48">
        <f t="shared" si="1584"/>
        <v>0</v>
      </c>
      <c r="CQ402" s="48">
        <f t="shared" si="1585"/>
        <v>0</v>
      </c>
      <c r="CR402" s="48">
        <f t="shared" si="1586"/>
        <v>0</v>
      </c>
      <c r="CS402" s="48">
        <f t="shared" si="1587"/>
        <v>0</v>
      </c>
      <c r="CT402" s="48">
        <f t="shared" ref="CT402:CT403" si="1602">+IF(M402=0,,CA402/M402*1000)</f>
        <v>0</v>
      </c>
      <c r="CU402" s="48">
        <f t="shared" si="1589"/>
        <v>0</v>
      </c>
      <c r="CV402" s="48">
        <f t="shared" si="1424"/>
        <v>0</v>
      </c>
      <c r="CW402" s="19">
        <f t="shared" si="1590"/>
        <v>0</v>
      </c>
      <c r="CX402" s="19">
        <f t="shared" si="1591"/>
        <v>0</v>
      </c>
      <c r="CY402" s="19">
        <f t="shared" si="1592"/>
        <v>0</v>
      </c>
      <c r="CZ402" s="19">
        <f t="shared" si="1593"/>
        <v>0</v>
      </c>
      <c r="DA402" s="21">
        <f t="shared" si="1542"/>
        <v>0</v>
      </c>
      <c r="DB402" s="21">
        <f t="shared" si="1543"/>
        <v>0</v>
      </c>
      <c r="DC402" s="79">
        <f t="shared" si="1425"/>
        <v>0</v>
      </c>
      <c r="DD402" s="79">
        <f t="shared" si="1425"/>
        <v>0</v>
      </c>
      <c r="DE402" s="79">
        <f t="shared" si="1594"/>
        <v>0</v>
      </c>
      <c r="DF402" s="79">
        <f t="shared" si="1594"/>
        <v>0</v>
      </c>
      <c r="DG402" s="79">
        <f t="shared" si="1595"/>
        <v>0</v>
      </c>
      <c r="DH402" s="51">
        <f t="shared" si="1596"/>
        <v>0</v>
      </c>
      <c r="DI402" s="39"/>
      <c r="DJ402" s="80">
        <f t="shared" si="1597"/>
        <v>0</v>
      </c>
      <c r="DK402" s="39">
        <f t="shared" si="1598"/>
        <v>0</v>
      </c>
      <c r="DL402" s="39">
        <f t="shared" si="1599"/>
        <v>0</v>
      </c>
      <c r="DM402" s="48">
        <f>+AT402-'[2]тарифы (12-13) население 15%'!AP516</f>
        <v>0</v>
      </c>
      <c r="DN402" s="39"/>
      <c r="DO402" s="39"/>
      <c r="DP402" s="39"/>
      <c r="DQ402" s="39"/>
      <c r="DR402" s="39"/>
      <c r="DS402" s="39"/>
      <c r="DT402" s="39"/>
      <c r="DU402" s="19">
        <f t="shared" si="1490"/>
        <v>0</v>
      </c>
      <c r="DV402" s="40">
        <f t="shared" si="1549"/>
        <v>0</v>
      </c>
      <c r="DW402" s="40">
        <f t="shared" si="1550"/>
        <v>0</v>
      </c>
      <c r="DX402" s="46"/>
      <c r="DY402" s="21">
        <f t="shared" si="1491"/>
        <v>0</v>
      </c>
      <c r="DZ402" s="19">
        <f t="shared" si="1492"/>
        <v>0</v>
      </c>
      <c r="EA402" s="19">
        <f t="shared" si="1493"/>
        <v>0</v>
      </c>
      <c r="EB402" s="19"/>
      <c r="EC402" s="48"/>
      <c r="ED402" s="48"/>
      <c r="EE402" s="22"/>
      <c r="EF402" s="22"/>
      <c r="EG402" s="22">
        <f t="shared" si="1494"/>
        <v>0</v>
      </c>
      <c r="EH402" s="22"/>
      <c r="EI402" s="22"/>
      <c r="EJ402" s="22">
        <f t="shared" si="1495"/>
        <v>0</v>
      </c>
      <c r="EK402" s="40"/>
      <c r="EL402" s="19"/>
      <c r="EM402" s="19"/>
      <c r="EN402" s="146">
        <f t="shared" ref="EN402:EN403" si="1603">+(EI402*EM402)/1.18</f>
        <v>0</v>
      </c>
      <c r="EO402" s="146">
        <f t="shared" ref="EO402:EO411" si="1604">+EF402*EM402</f>
        <v>0</v>
      </c>
      <c r="EP402" s="146"/>
      <c r="EQ402" s="21">
        <f t="shared" si="1496"/>
        <v>0</v>
      </c>
      <c r="ER402" s="21"/>
      <c r="ES402" s="21">
        <f t="shared" si="1441"/>
        <v>0</v>
      </c>
      <c r="ET402" s="21"/>
      <c r="EU402" s="19">
        <f t="shared" ref="EU402:EU403" si="1605">+EF402*EL402</f>
        <v>0</v>
      </c>
      <c r="EV402" s="21"/>
      <c r="EW402" s="39"/>
      <c r="EX402" s="39">
        <f t="shared" si="1600"/>
        <v>0</v>
      </c>
      <c r="EY402" s="39">
        <f t="shared" si="1499"/>
        <v>0</v>
      </c>
      <c r="EZ402" s="39"/>
      <c r="FA402" s="39"/>
      <c r="FB402" s="39"/>
      <c r="FC402" s="39"/>
      <c r="FD402" s="39"/>
      <c r="FE402" s="39"/>
      <c r="FF402" s="39"/>
      <c r="FG402" s="39"/>
      <c r="FH402" s="39"/>
      <c r="FI402" s="39"/>
      <c r="FJ402" s="19">
        <f t="shared" ref="FJ402:FJ411" si="1606">+(EE402-EH402/1.18)*EM402</f>
        <v>0</v>
      </c>
      <c r="FK402" s="19">
        <f t="shared" ref="FK402:FK411" si="1607">+(EF402-EI402/1.18)*EM402</f>
        <v>0</v>
      </c>
      <c r="FL402" s="19">
        <f t="shared" si="1601"/>
        <v>0</v>
      </c>
      <c r="FM402" s="19"/>
      <c r="FN402" s="19"/>
      <c r="FO402" s="22"/>
      <c r="FP402" s="22"/>
      <c r="FQ402" s="22"/>
      <c r="FR402" s="22"/>
      <c r="FS402" s="22"/>
      <c r="FT402" s="22"/>
      <c r="FU402" s="40"/>
      <c r="FV402" s="19"/>
      <c r="FW402" s="19"/>
      <c r="FX402" s="19"/>
      <c r="FY402" s="19"/>
      <c r="FZ402" s="19"/>
      <c r="GA402" s="19"/>
      <c r="GB402" s="19"/>
      <c r="GC402" s="20"/>
      <c r="GD402" s="20"/>
      <c r="GE402" s="21"/>
      <c r="GF402" s="21"/>
      <c r="GG402" s="21"/>
      <c r="GH402" s="21"/>
      <c r="GI402" s="21"/>
      <c r="GJ402" s="21"/>
      <c r="GK402" s="21"/>
      <c r="GL402" s="21"/>
      <c r="GM402" s="19"/>
      <c r="GN402" s="19"/>
      <c r="GO402" s="22"/>
      <c r="GP402" s="22"/>
      <c r="GQ402" s="22"/>
      <c r="GR402" s="22"/>
      <c r="GS402" s="22"/>
      <c r="GT402" s="22"/>
      <c r="GU402" s="43"/>
      <c r="GV402" s="19"/>
      <c r="GW402" s="19"/>
      <c r="GX402" s="19"/>
      <c r="GY402" s="19"/>
      <c r="GZ402" s="23"/>
      <c r="HA402" s="22"/>
      <c r="HB402" s="22"/>
      <c r="HC402" s="22"/>
      <c r="HD402" s="22"/>
      <c r="HE402" s="22"/>
      <c r="HF402" s="22"/>
      <c r="HG402" s="233"/>
    </row>
    <row r="403" spans="1:215" ht="15.75">
      <c r="B403" s="10"/>
      <c r="C403" s="184" t="s">
        <v>515</v>
      </c>
      <c r="D403" s="73">
        <v>213900</v>
      </c>
      <c r="E403" s="73"/>
      <c r="F403" s="73"/>
      <c r="G403" s="73"/>
      <c r="H403" s="73"/>
      <c r="I403" s="73">
        <v>213900</v>
      </c>
      <c r="J403" s="73" t="e">
        <f>+I403*#REF!</f>
        <v>#REF!</v>
      </c>
      <c r="K403" s="73" t="e">
        <f>+I403*#REF!</f>
        <v>#REF!</v>
      </c>
      <c r="L403" s="73" t="e">
        <f>+I403*#REF!</f>
        <v>#REF!</v>
      </c>
      <c r="M403" s="73">
        <f t="shared" si="1500"/>
        <v>213900</v>
      </c>
      <c r="N403" s="73">
        <f t="shared" si="1501"/>
        <v>0</v>
      </c>
      <c r="O403" s="74">
        <v>0</v>
      </c>
      <c r="P403" s="74"/>
      <c r="Q403" s="74">
        <v>0</v>
      </c>
      <c r="R403" s="73">
        <f t="shared" si="1502"/>
        <v>213900</v>
      </c>
      <c r="S403" s="74">
        <v>106950</v>
      </c>
      <c r="T403" s="74"/>
      <c r="U403" s="74">
        <v>106950</v>
      </c>
      <c r="V403" s="52"/>
      <c r="W403" s="52">
        <v>12.22</v>
      </c>
      <c r="X403" s="52">
        <f t="shared" si="1551"/>
        <v>0</v>
      </c>
      <c r="Y403" s="52">
        <v>12.92</v>
      </c>
      <c r="Z403" s="22">
        <f t="shared" si="1552"/>
        <v>105.72831423895252</v>
      </c>
      <c r="AA403" s="52">
        <v>12.92</v>
      </c>
      <c r="AB403" s="22">
        <f t="shared" si="1553"/>
        <v>100</v>
      </c>
      <c r="AC403" s="52">
        <v>12.92</v>
      </c>
      <c r="AD403" s="52">
        <v>12.92</v>
      </c>
      <c r="AE403" s="22">
        <f t="shared" si="1460"/>
        <v>110.44891640866872</v>
      </c>
      <c r="AF403" s="22">
        <v>14.27</v>
      </c>
      <c r="AG403" s="22">
        <f t="shared" si="1504"/>
        <v>110.44891640866872</v>
      </c>
      <c r="AH403" s="52"/>
      <c r="AI403" s="52"/>
      <c r="AJ403" s="52"/>
      <c r="AK403" s="52"/>
      <c r="AL403" s="22"/>
      <c r="AM403" s="52"/>
      <c r="AN403" s="22"/>
      <c r="AO403" s="22"/>
      <c r="AP403" s="22"/>
      <c r="AQ403" s="22"/>
      <c r="AR403" s="22"/>
      <c r="AS403" s="22">
        <f t="shared" si="1461"/>
        <v>0</v>
      </c>
      <c r="AT403" s="22"/>
      <c r="AU403" s="22">
        <f t="shared" si="1459"/>
        <v>0</v>
      </c>
      <c r="AV403" s="77"/>
      <c r="AW403" s="77">
        <f>+CY403/$CY$375*100</f>
        <v>0</v>
      </c>
      <c r="AX403" s="78" t="s">
        <v>516</v>
      </c>
      <c r="AY403" s="22">
        <f t="shared" si="1462"/>
        <v>183.49999999999997</v>
      </c>
      <c r="AZ403" s="22">
        <f>+[3]БПр!$AC$1334/1000</f>
        <v>0</v>
      </c>
      <c r="BA403" s="22"/>
      <c r="BB403" s="22">
        <f>+[3]БПр!$AD$1334/1000+[3]БПр!$R$1334/1000</f>
        <v>183.49999999999997</v>
      </c>
      <c r="BC403" s="22">
        <v>14.27</v>
      </c>
      <c r="BD403" s="22">
        <v>14.86</v>
      </c>
      <c r="BE403" s="22">
        <f t="shared" si="1463"/>
        <v>104.13454800280309</v>
      </c>
      <c r="BF403" s="22"/>
      <c r="BG403" s="22"/>
      <c r="BH403" s="22">
        <f t="shared" si="1464"/>
        <v>0</v>
      </c>
      <c r="BI403" s="22"/>
      <c r="BJ403" s="40" t="s">
        <v>517</v>
      </c>
      <c r="BK403" s="19">
        <f t="shared" si="1465"/>
        <v>2613.8580000000002</v>
      </c>
      <c r="BL403" s="19">
        <f t="shared" si="1560"/>
        <v>0</v>
      </c>
      <c r="BM403" s="19">
        <f t="shared" si="1561"/>
        <v>0</v>
      </c>
      <c r="BN403" s="19">
        <f t="shared" si="1562"/>
        <v>2613.8580000000002</v>
      </c>
      <c r="BO403" s="19">
        <f t="shared" si="1466"/>
        <v>2763.5880000000002</v>
      </c>
      <c r="BP403" s="19">
        <f t="shared" si="1563"/>
        <v>0</v>
      </c>
      <c r="BQ403" s="19">
        <f t="shared" si="1564"/>
        <v>0</v>
      </c>
      <c r="BR403" s="19">
        <f t="shared" si="1565"/>
        <v>2763.5880000000002</v>
      </c>
      <c r="BS403" s="19">
        <f t="shared" si="1467"/>
        <v>2763.5880000000002</v>
      </c>
      <c r="BT403" s="19">
        <f t="shared" si="1566"/>
        <v>0</v>
      </c>
      <c r="BU403" s="19">
        <f t="shared" si="1567"/>
        <v>0</v>
      </c>
      <c r="BV403" s="19">
        <f t="shared" si="1568"/>
        <v>2763.5880000000002</v>
      </c>
      <c r="BW403" s="19">
        <f t="shared" si="1515"/>
        <v>2763.5880000000002</v>
      </c>
      <c r="BX403" s="19">
        <f t="shared" si="1569"/>
        <v>0</v>
      </c>
      <c r="BY403" s="19"/>
      <c r="BZ403" s="19">
        <f t="shared" si="1570"/>
        <v>2763.5880000000002</v>
      </c>
      <c r="CA403" s="19">
        <f t="shared" si="1518"/>
        <v>3052.3530000000001</v>
      </c>
      <c r="CB403" s="19">
        <f t="shared" si="1571"/>
        <v>0</v>
      </c>
      <c r="CC403" s="19"/>
      <c r="CD403" s="19">
        <f t="shared" si="1572"/>
        <v>3052.3530000000001</v>
      </c>
      <c r="CE403" s="48">
        <f t="shared" si="1573"/>
        <v>12.22</v>
      </c>
      <c r="CF403" s="48">
        <f t="shared" si="1574"/>
        <v>12.920000000000002</v>
      </c>
      <c r="CG403" s="48">
        <f t="shared" si="1575"/>
        <v>12.920000000000002</v>
      </c>
      <c r="CH403" s="48">
        <f t="shared" si="1576"/>
        <v>0</v>
      </c>
      <c r="CI403" s="48">
        <f t="shared" si="1577"/>
        <v>0</v>
      </c>
      <c r="CJ403" s="48">
        <f t="shared" si="1578"/>
        <v>0</v>
      </c>
      <c r="CK403" s="48">
        <f t="shared" si="1579"/>
        <v>12.22</v>
      </c>
      <c r="CL403" s="48">
        <f t="shared" si="1580"/>
        <v>12.920000000000002</v>
      </c>
      <c r="CM403" s="48">
        <f t="shared" si="1581"/>
        <v>12.920000000000002</v>
      </c>
      <c r="CN403" s="48">
        <f t="shared" si="1582"/>
        <v>12.686666666666666</v>
      </c>
      <c r="CO403" s="48">
        <f t="shared" si="1583"/>
        <v>12.920000000000002</v>
      </c>
      <c r="CP403" s="48">
        <f t="shared" si="1584"/>
        <v>14.27</v>
      </c>
      <c r="CQ403" s="48">
        <f t="shared" si="1585"/>
        <v>0</v>
      </c>
      <c r="CR403" s="48">
        <f t="shared" si="1586"/>
        <v>0</v>
      </c>
      <c r="CS403" s="48">
        <f t="shared" si="1587"/>
        <v>12.920000000000002</v>
      </c>
      <c r="CT403" s="48">
        <f t="shared" si="1602"/>
        <v>14.27</v>
      </c>
      <c r="CU403" s="48">
        <f t="shared" si="1589"/>
        <v>13.595000000000001</v>
      </c>
      <c r="CV403" s="48">
        <f t="shared" si="1424"/>
        <v>107.15974776668421</v>
      </c>
      <c r="CW403" s="19">
        <f t="shared" si="1590"/>
        <v>0</v>
      </c>
      <c r="CX403" s="19">
        <f t="shared" si="1591"/>
        <v>0</v>
      </c>
      <c r="CY403" s="19">
        <f t="shared" si="1592"/>
        <v>0</v>
      </c>
      <c r="CZ403" s="19">
        <f t="shared" si="1593"/>
        <v>0</v>
      </c>
      <c r="DA403" s="21">
        <f t="shared" si="1542"/>
        <v>0</v>
      </c>
      <c r="DB403" s="21">
        <f t="shared" si="1543"/>
        <v>0</v>
      </c>
      <c r="DC403" s="79">
        <f t="shared" si="1425"/>
        <v>0</v>
      </c>
      <c r="DD403" s="79">
        <f t="shared" si="1425"/>
        <v>0</v>
      </c>
      <c r="DE403" s="79">
        <f t="shared" si="1594"/>
        <v>1381.7940000000001</v>
      </c>
      <c r="DF403" s="79">
        <f t="shared" si="1594"/>
        <v>0</v>
      </c>
      <c r="DG403" s="79">
        <f t="shared" si="1595"/>
        <v>1526.1765</v>
      </c>
      <c r="DH403" s="51">
        <f t="shared" si="1596"/>
        <v>2907.9705000000004</v>
      </c>
      <c r="DI403" s="39"/>
      <c r="DJ403" s="80" t="e">
        <f t="shared" si="1597"/>
        <v>#REF!</v>
      </c>
      <c r="DK403" s="39" t="e">
        <f t="shared" si="1598"/>
        <v>#REF!</v>
      </c>
      <c r="DL403" s="39" t="e">
        <f t="shared" si="1599"/>
        <v>#REF!</v>
      </c>
      <c r="DM403" s="48">
        <f>+AT403-'[2]тарифы (12-13) население 15%'!AP517</f>
        <v>0</v>
      </c>
      <c r="DN403" s="39"/>
      <c r="DO403" s="39"/>
      <c r="DP403" s="39"/>
      <c r="DQ403" s="39"/>
      <c r="DR403" s="39"/>
      <c r="DS403" s="39"/>
      <c r="DT403" s="39"/>
      <c r="DU403" s="19">
        <f t="shared" si="1490"/>
        <v>0</v>
      </c>
      <c r="DV403" s="40">
        <f t="shared" si="1549"/>
        <v>0</v>
      </c>
      <c r="DW403" s="40">
        <f t="shared" si="1550"/>
        <v>0</v>
      </c>
      <c r="DX403" s="46"/>
      <c r="DY403" s="21">
        <f t="shared" si="1491"/>
        <v>0</v>
      </c>
      <c r="DZ403" s="19">
        <f t="shared" si="1492"/>
        <v>2.6185449999999997</v>
      </c>
      <c r="EA403" s="19">
        <f t="shared" si="1493"/>
        <v>2.7268099999999995</v>
      </c>
      <c r="EB403" s="19"/>
      <c r="EC403" s="48"/>
      <c r="ED403" s="48"/>
      <c r="EE403" s="22">
        <v>14.86</v>
      </c>
      <c r="EF403" s="22">
        <v>15.75</v>
      </c>
      <c r="EG403" s="22">
        <f t="shared" si="1494"/>
        <v>105.98923283983849</v>
      </c>
      <c r="EH403" s="22"/>
      <c r="EI403" s="22"/>
      <c r="EJ403" s="22">
        <f t="shared" si="1495"/>
        <v>0</v>
      </c>
      <c r="EK403" s="40" t="s">
        <v>518</v>
      </c>
      <c r="EL403" s="19">
        <v>178.9</v>
      </c>
      <c r="EM403" s="19"/>
      <c r="EN403" s="146">
        <f t="shared" si="1603"/>
        <v>0</v>
      </c>
      <c r="EO403" s="146">
        <f t="shared" si="1604"/>
        <v>0</v>
      </c>
      <c r="EP403" s="146"/>
      <c r="EQ403" s="21">
        <f t="shared" si="1496"/>
        <v>0</v>
      </c>
      <c r="ER403" s="21"/>
      <c r="ES403" s="21">
        <f t="shared" si="1441"/>
        <v>2658.4540000000002</v>
      </c>
      <c r="ET403" s="21"/>
      <c r="EU403" s="19">
        <f t="shared" si="1605"/>
        <v>2817.6750000000002</v>
      </c>
      <c r="EV403" s="21"/>
      <c r="EW403" s="39"/>
      <c r="EX403" s="39">
        <f t="shared" si="1600"/>
        <v>2726.8099999999995</v>
      </c>
      <c r="EY403" s="39">
        <f t="shared" si="1499"/>
        <v>2890.1249999999995</v>
      </c>
      <c r="EZ403" s="39"/>
      <c r="FA403" s="39"/>
      <c r="FB403" s="39"/>
      <c r="FC403" s="39"/>
      <c r="FD403" s="39"/>
      <c r="FE403" s="39"/>
      <c r="FF403" s="39"/>
      <c r="FG403" s="39"/>
      <c r="FH403" s="39"/>
      <c r="FI403" s="39"/>
      <c r="FJ403" s="19">
        <f t="shared" si="1606"/>
        <v>0</v>
      </c>
      <c r="FK403" s="19">
        <f t="shared" si="1607"/>
        <v>0</v>
      </c>
      <c r="FL403" s="19">
        <f t="shared" si="1601"/>
        <v>0</v>
      </c>
      <c r="FM403" s="19">
        <v>178</v>
      </c>
      <c r="FN403" s="19"/>
      <c r="FO403" s="22">
        <v>17.89</v>
      </c>
      <c r="FP403" s="22">
        <v>18.25</v>
      </c>
      <c r="FQ403" s="22"/>
      <c r="FR403" s="22" t="s">
        <v>633</v>
      </c>
      <c r="FS403" s="22" t="s">
        <v>633</v>
      </c>
      <c r="FT403" s="22"/>
      <c r="FU403" s="40" t="s">
        <v>707</v>
      </c>
      <c r="FV403" s="19"/>
      <c r="FW403" s="19"/>
      <c r="FX403" s="19"/>
      <c r="FY403" s="19"/>
      <c r="FZ403" s="19"/>
      <c r="GA403" s="19"/>
      <c r="GB403" s="19"/>
      <c r="GC403" s="20"/>
      <c r="GD403" s="20"/>
      <c r="GE403" s="21"/>
      <c r="GF403" s="21"/>
      <c r="GG403" s="21"/>
      <c r="GH403" s="21"/>
      <c r="GI403" s="21"/>
      <c r="GJ403" s="21"/>
      <c r="GK403" s="21"/>
      <c r="GL403" s="21"/>
      <c r="GM403" s="19"/>
      <c r="GN403" s="19"/>
      <c r="GO403" s="22">
        <v>18.25</v>
      </c>
      <c r="GP403" s="22">
        <v>18.86</v>
      </c>
      <c r="GQ403" s="22"/>
      <c r="GR403" s="22" t="s">
        <v>633</v>
      </c>
      <c r="GS403" s="22" t="s">
        <v>633</v>
      </c>
      <c r="GT403" s="22"/>
      <c r="GU403" s="40" t="s">
        <v>707</v>
      </c>
      <c r="GV403" s="19"/>
      <c r="GW403" s="19"/>
      <c r="GX403" s="19"/>
      <c r="GY403" s="19"/>
      <c r="GZ403" s="23"/>
      <c r="HA403" s="22">
        <v>18.86</v>
      </c>
      <c r="HB403" s="22">
        <v>19.440000000000001</v>
      </c>
      <c r="HC403" s="22"/>
      <c r="HD403" s="22" t="s">
        <v>633</v>
      </c>
      <c r="HE403" s="22" t="s">
        <v>633</v>
      </c>
      <c r="HF403" s="22"/>
      <c r="HG403" s="236" t="s">
        <v>707</v>
      </c>
    </row>
    <row r="404" spans="1:215" ht="15.75">
      <c r="B404" s="15" t="s">
        <v>519</v>
      </c>
      <c r="C404" s="174" t="s">
        <v>520</v>
      </c>
      <c r="D404" s="73"/>
      <c r="E404" s="73"/>
      <c r="F404" s="73"/>
      <c r="G404" s="73"/>
      <c r="H404" s="73"/>
      <c r="I404" s="73"/>
      <c r="J404" s="74"/>
      <c r="K404" s="74"/>
      <c r="L404" s="74"/>
      <c r="M404" s="73"/>
      <c r="N404" s="73"/>
      <c r="O404" s="73"/>
      <c r="P404" s="73"/>
      <c r="Q404" s="73"/>
      <c r="R404" s="73"/>
      <c r="S404" s="74"/>
      <c r="T404" s="74"/>
      <c r="U404" s="74"/>
      <c r="V404" s="52"/>
      <c r="W404" s="52"/>
      <c r="X404" s="52"/>
      <c r="Y404" s="52"/>
      <c r="Z404" s="22"/>
      <c r="AA404" s="52"/>
      <c r="AB404" s="22"/>
      <c r="AC404" s="52"/>
      <c r="AD404" s="52"/>
      <c r="AE404" s="22"/>
      <c r="AF404" s="22"/>
      <c r="AG404" s="22"/>
      <c r="AH404" s="52"/>
      <c r="AI404" s="52"/>
      <c r="AJ404" s="52"/>
      <c r="AK404" s="52"/>
      <c r="AL404" s="22"/>
      <c r="AM404" s="52"/>
      <c r="AN404" s="22"/>
      <c r="AO404" s="22"/>
      <c r="AP404" s="22"/>
      <c r="AQ404" s="22"/>
      <c r="AR404" s="22"/>
      <c r="AS404" s="22"/>
      <c r="AT404" s="22"/>
      <c r="AU404" s="22"/>
      <c r="AV404" s="77"/>
      <c r="AW404" s="77"/>
      <c r="AX404" s="78"/>
      <c r="AY404" s="22"/>
      <c r="AZ404" s="22"/>
      <c r="BA404" s="22"/>
      <c r="BB404" s="22"/>
      <c r="BC404" s="22"/>
      <c r="BD404" s="22"/>
      <c r="BE404" s="22"/>
      <c r="BF404" s="22"/>
      <c r="BG404" s="22"/>
      <c r="BH404" s="22"/>
      <c r="BI404" s="22"/>
      <c r="BJ404" s="40"/>
      <c r="BK404" s="19"/>
      <c r="BL404" s="19"/>
      <c r="BM404" s="19"/>
      <c r="BN404" s="19"/>
      <c r="BO404" s="19"/>
      <c r="BP404" s="19"/>
      <c r="BQ404" s="19"/>
      <c r="BR404" s="19"/>
      <c r="BS404" s="19"/>
      <c r="BT404" s="19"/>
      <c r="BU404" s="19"/>
      <c r="BV404" s="19"/>
      <c r="BW404" s="19"/>
      <c r="BX404" s="19"/>
      <c r="BY404" s="19"/>
      <c r="BZ404" s="19"/>
      <c r="CA404" s="19"/>
      <c r="CB404" s="19"/>
      <c r="CC404" s="19"/>
      <c r="CD404" s="19"/>
      <c r="CE404" s="48"/>
      <c r="CF404" s="48"/>
      <c r="CG404" s="48"/>
      <c r="CH404" s="48"/>
      <c r="CI404" s="48"/>
      <c r="CJ404" s="48"/>
      <c r="CK404" s="48"/>
      <c r="CL404" s="48"/>
      <c r="CM404" s="48"/>
      <c r="CN404" s="48"/>
      <c r="CO404" s="48"/>
      <c r="CP404" s="48"/>
      <c r="CQ404" s="48"/>
      <c r="CR404" s="48"/>
      <c r="CS404" s="48"/>
      <c r="CT404" s="48"/>
      <c r="CU404" s="48"/>
      <c r="CV404" s="48"/>
      <c r="CW404" s="19"/>
      <c r="CX404" s="19"/>
      <c r="CY404" s="19"/>
      <c r="CZ404" s="19"/>
      <c r="DA404" s="21"/>
      <c r="DB404" s="21"/>
      <c r="DC404" s="79"/>
      <c r="DD404" s="79"/>
      <c r="DE404" s="79"/>
      <c r="DF404" s="79"/>
      <c r="DG404" s="79"/>
      <c r="DH404" s="51"/>
      <c r="DI404" s="39"/>
      <c r="DJ404" s="80"/>
      <c r="DK404" s="39"/>
      <c r="DL404" s="39"/>
      <c r="DM404" s="48"/>
      <c r="DN404" s="39"/>
      <c r="DO404" s="39"/>
      <c r="DP404" s="39"/>
      <c r="DQ404" s="39"/>
      <c r="DR404" s="39"/>
      <c r="DS404" s="39"/>
      <c r="DT404" s="39"/>
      <c r="DU404" s="19"/>
      <c r="DV404" s="40"/>
      <c r="DW404" s="40"/>
      <c r="DX404" s="46"/>
      <c r="DY404" s="21"/>
      <c r="DZ404" s="19"/>
      <c r="EA404" s="19"/>
      <c r="EB404" s="19"/>
      <c r="EC404" s="48"/>
      <c r="ED404" s="48"/>
      <c r="EE404" s="22"/>
      <c r="EF404" s="22"/>
      <c r="EG404" s="22"/>
      <c r="EH404" s="22"/>
      <c r="EI404" s="22"/>
      <c r="EJ404" s="22"/>
      <c r="EK404" s="40"/>
      <c r="EL404" s="19"/>
      <c r="EM404" s="19"/>
      <c r="EN404" s="146"/>
      <c r="EO404" s="146"/>
      <c r="EP404" s="146"/>
      <c r="EQ404" s="21"/>
      <c r="ER404" s="21"/>
      <c r="ES404" s="21"/>
      <c r="ET404" s="21"/>
      <c r="EU404" s="19"/>
      <c r="EV404" s="21"/>
      <c r="EW404" s="39"/>
      <c r="EX404" s="39"/>
      <c r="EY404" s="39"/>
      <c r="EZ404" s="39"/>
      <c r="FA404" s="39"/>
      <c r="FB404" s="39"/>
      <c r="FC404" s="39"/>
      <c r="FD404" s="39"/>
      <c r="FE404" s="39"/>
      <c r="FF404" s="39"/>
      <c r="FG404" s="39"/>
      <c r="FH404" s="39"/>
      <c r="FI404" s="39"/>
      <c r="FJ404" s="19"/>
      <c r="FK404" s="19"/>
      <c r="FL404" s="19"/>
      <c r="FM404" s="19"/>
      <c r="FN404" s="19"/>
      <c r="FO404" s="22"/>
      <c r="FP404" s="22"/>
      <c r="FQ404" s="22"/>
      <c r="FR404" s="22"/>
      <c r="FS404" s="22"/>
      <c r="FT404" s="22"/>
      <c r="FU404" s="40"/>
      <c r="FV404" s="19"/>
      <c r="FW404" s="19"/>
      <c r="FX404" s="19"/>
      <c r="FY404" s="19"/>
      <c r="FZ404" s="19"/>
      <c r="GA404" s="19"/>
      <c r="GB404" s="19"/>
      <c r="GC404" s="20"/>
      <c r="GD404" s="20"/>
      <c r="GE404" s="21"/>
      <c r="GF404" s="21"/>
      <c r="GG404" s="21"/>
      <c r="GH404" s="21"/>
      <c r="GI404" s="21"/>
      <c r="GJ404" s="21"/>
      <c r="GK404" s="21"/>
      <c r="GL404" s="21"/>
      <c r="GM404" s="19"/>
      <c r="GN404" s="19"/>
      <c r="GO404" s="22"/>
      <c r="GP404" s="22"/>
      <c r="GQ404" s="22"/>
      <c r="GR404" s="22"/>
      <c r="GS404" s="22"/>
      <c r="GT404" s="22"/>
      <c r="GU404" s="43"/>
      <c r="GV404" s="19"/>
      <c r="GW404" s="19"/>
      <c r="GX404" s="19"/>
      <c r="GY404" s="19"/>
      <c r="GZ404" s="23"/>
      <c r="HA404" s="22"/>
      <c r="HB404" s="22"/>
      <c r="HC404" s="22"/>
      <c r="HD404" s="22"/>
      <c r="HE404" s="22"/>
      <c r="HF404" s="22"/>
      <c r="HG404" s="233"/>
    </row>
    <row r="405" spans="1:215" ht="15.75">
      <c r="B405" s="15"/>
      <c r="C405" s="161" t="s">
        <v>204</v>
      </c>
      <c r="D405" s="73"/>
      <c r="E405" s="73"/>
      <c r="F405" s="73"/>
      <c r="G405" s="73"/>
      <c r="H405" s="73"/>
      <c r="I405" s="73"/>
      <c r="J405" s="74"/>
      <c r="K405" s="74"/>
      <c r="L405" s="74"/>
      <c r="M405" s="73"/>
      <c r="N405" s="73"/>
      <c r="O405" s="73"/>
      <c r="P405" s="73"/>
      <c r="Q405" s="73"/>
      <c r="R405" s="73"/>
      <c r="S405" s="74"/>
      <c r="T405" s="74"/>
      <c r="U405" s="74"/>
      <c r="V405" s="52"/>
      <c r="W405" s="52"/>
      <c r="X405" s="52"/>
      <c r="Y405" s="52"/>
      <c r="Z405" s="22"/>
      <c r="AA405" s="52"/>
      <c r="AB405" s="22"/>
      <c r="AC405" s="52"/>
      <c r="AD405" s="52"/>
      <c r="AE405" s="22"/>
      <c r="AF405" s="22"/>
      <c r="AG405" s="22"/>
      <c r="AH405" s="52"/>
      <c r="AI405" s="52"/>
      <c r="AJ405" s="52"/>
      <c r="AK405" s="52"/>
      <c r="AL405" s="22"/>
      <c r="AM405" s="52"/>
      <c r="AN405" s="22"/>
      <c r="AO405" s="22"/>
      <c r="AP405" s="22"/>
      <c r="AQ405" s="22"/>
      <c r="AR405" s="22"/>
      <c r="AS405" s="22"/>
      <c r="AT405" s="22"/>
      <c r="AU405" s="22"/>
      <c r="AV405" s="77"/>
      <c r="AW405" s="77"/>
      <c r="AX405" s="78"/>
      <c r="AY405" s="22"/>
      <c r="AZ405" s="22"/>
      <c r="BA405" s="22"/>
      <c r="BB405" s="22"/>
      <c r="BC405" s="22"/>
      <c r="BD405" s="22"/>
      <c r="BE405" s="22"/>
      <c r="BF405" s="22"/>
      <c r="BG405" s="22"/>
      <c r="BH405" s="22"/>
      <c r="BI405" s="22"/>
      <c r="BJ405" s="40"/>
      <c r="BK405" s="19"/>
      <c r="BL405" s="19"/>
      <c r="BM405" s="19"/>
      <c r="BN405" s="19"/>
      <c r="BO405" s="19"/>
      <c r="BP405" s="19"/>
      <c r="BQ405" s="19"/>
      <c r="BR405" s="19"/>
      <c r="BS405" s="19"/>
      <c r="BT405" s="19"/>
      <c r="BU405" s="19"/>
      <c r="BV405" s="19"/>
      <c r="BW405" s="19"/>
      <c r="BX405" s="19"/>
      <c r="BY405" s="19"/>
      <c r="BZ405" s="19"/>
      <c r="CA405" s="19"/>
      <c r="CB405" s="19"/>
      <c r="CC405" s="19"/>
      <c r="CD405" s="19"/>
      <c r="CE405" s="48"/>
      <c r="CF405" s="48"/>
      <c r="CG405" s="48"/>
      <c r="CH405" s="48"/>
      <c r="CI405" s="48"/>
      <c r="CJ405" s="48"/>
      <c r="CK405" s="48"/>
      <c r="CL405" s="48"/>
      <c r="CM405" s="48"/>
      <c r="CN405" s="48"/>
      <c r="CO405" s="48"/>
      <c r="CP405" s="48"/>
      <c r="CQ405" s="48"/>
      <c r="CR405" s="48"/>
      <c r="CS405" s="48"/>
      <c r="CT405" s="48"/>
      <c r="CU405" s="48"/>
      <c r="CV405" s="48"/>
      <c r="CW405" s="19"/>
      <c r="CX405" s="19"/>
      <c r="CY405" s="19"/>
      <c r="CZ405" s="19"/>
      <c r="DA405" s="21"/>
      <c r="DB405" s="21"/>
      <c r="DC405" s="79"/>
      <c r="DD405" s="79"/>
      <c r="DE405" s="79"/>
      <c r="DF405" s="79"/>
      <c r="DG405" s="79"/>
      <c r="DH405" s="51"/>
      <c r="DI405" s="39"/>
      <c r="DJ405" s="80"/>
      <c r="DK405" s="39"/>
      <c r="DL405" s="39"/>
      <c r="DM405" s="48"/>
      <c r="DN405" s="39"/>
      <c r="DO405" s="39"/>
      <c r="DP405" s="39"/>
      <c r="DQ405" s="39"/>
      <c r="DR405" s="39"/>
      <c r="DS405" s="39"/>
      <c r="DT405" s="39"/>
      <c r="DU405" s="19"/>
      <c r="DV405" s="40"/>
      <c r="DW405" s="40"/>
      <c r="DX405" s="46"/>
      <c r="DY405" s="21"/>
      <c r="DZ405" s="19"/>
      <c r="EA405" s="19"/>
      <c r="EB405" s="19"/>
      <c r="EC405" s="48"/>
      <c r="ED405" s="48"/>
      <c r="EE405" s="22"/>
      <c r="EF405" s="22">
        <v>894.18</v>
      </c>
      <c r="EG405" s="22"/>
      <c r="EH405" s="22"/>
      <c r="EI405" s="22"/>
      <c r="EJ405" s="22"/>
      <c r="EK405" s="40" t="s">
        <v>521</v>
      </c>
      <c r="EL405" s="19"/>
      <c r="EM405" s="19"/>
      <c r="EN405" s="146"/>
      <c r="EO405" s="146"/>
      <c r="EP405" s="146"/>
      <c r="EQ405" s="21"/>
      <c r="ER405" s="21"/>
      <c r="ES405" s="21"/>
      <c r="ET405" s="21"/>
      <c r="EU405" s="19"/>
      <c r="EV405" s="21"/>
      <c r="EW405" s="39"/>
      <c r="EX405" s="39"/>
      <c r="EY405" s="39"/>
      <c r="EZ405" s="39"/>
      <c r="FA405" s="39"/>
      <c r="FB405" s="39"/>
      <c r="FC405" s="39"/>
      <c r="FD405" s="39"/>
      <c r="FE405" s="39"/>
      <c r="FF405" s="39"/>
      <c r="FG405" s="39"/>
      <c r="FH405" s="39"/>
      <c r="FI405" s="39"/>
      <c r="FJ405" s="19"/>
      <c r="FK405" s="19"/>
      <c r="FL405" s="19"/>
      <c r="FM405" s="19">
        <v>5.7309999999999999</v>
      </c>
      <c r="FN405" s="19"/>
      <c r="FO405" s="22">
        <v>1186.18</v>
      </c>
      <c r="FP405" s="22">
        <v>1249.52</v>
      </c>
      <c r="FQ405" s="22"/>
      <c r="FR405" s="22" t="s">
        <v>633</v>
      </c>
      <c r="FS405" s="22" t="s">
        <v>633</v>
      </c>
      <c r="FT405" s="22"/>
      <c r="FU405" s="40" t="s">
        <v>708</v>
      </c>
      <c r="FV405" s="19"/>
      <c r="FW405" s="19"/>
      <c r="FX405" s="19"/>
      <c r="FY405" s="19"/>
      <c r="FZ405" s="19"/>
      <c r="GA405" s="19"/>
      <c r="GB405" s="19"/>
      <c r="GC405" s="20"/>
      <c r="GD405" s="20"/>
      <c r="GE405" s="21"/>
      <c r="GF405" s="21"/>
      <c r="GG405" s="21"/>
      <c r="GH405" s="21"/>
      <c r="GI405" s="21"/>
      <c r="GJ405" s="21"/>
      <c r="GK405" s="21"/>
      <c r="GL405" s="21"/>
      <c r="GM405" s="19"/>
      <c r="GN405" s="19"/>
      <c r="GO405" s="22">
        <v>1220.49</v>
      </c>
      <c r="GP405" s="22">
        <v>1285.0899999999999</v>
      </c>
      <c r="GQ405" s="22"/>
      <c r="GR405" s="22" t="s">
        <v>633</v>
      </c>
      <c r="GS405" s="22" t="s">
        <v>633</v>
      </c>
      <c r="GT405" s="22"/>
      <c r="GU405" s="40" t="s">
        <v>708</v>
      </c>
      <c r="GV405" s="19"/>
      <c r="GW405" s="19"/>
      <c r="GX405" s="19"/>
      <c r="GY405" s="19"/>
      <c r="GZ405" s="23"/>
      <c r="HA405" s="22" t="s">
        <v>633</v>
      </c>
      <c r="HB405" s="22" t="s">
        <v>633</v>
      </c>
      <c r="HC405" s="22"/>
      <c r="HD405" s="22" t="s">
        <v>633</v>
      </c>
      <c r="HE405" s="22" t="s">
        <v>633</v>
      </c>
      <c r="HF405" s="22"/>
      <c r="HG405" s="233" t="s">
        <v>633</v>
      </c>
    </row>
    <row r="406" spans="1:215" ht="15.75">
      <c r="B406" s="15" t="s">
        <v>522</v>
      </c>
      <c r="C406" s="174" t="s">
        <v>523</v>
      </c>
      <c r="D406" s="73"/>
      <c r="E406" s="73"/>
      <c r="F406" s="73"/>
      <c r="G406" s="73"/>
      <c r="H406" s="73"/>
      <c r="I406" s="73"/>
      <c r="J406" s="74"/>
      <c r="K406" s="74"/>
      <c r="L406" s="74"/>
      <c r="M406" s="73"/>
      <c r="N406" s="73"/>
      <c r="O406" s="73"/>
      <c r="P406" s="73"/>
      <c r="Q406" s="73"/>
      <c r="R406" s="73"/>
      <c r="S406" s="74"/>
      <c r="T406" s="74"/>
      <c r="U406" s="74"/>
      <c r="V406" s="52"/>
      <c r="W406" s="52"/>
      <c r="X406" s="52"/>
      <c r="Y406" s="52"/>
      <c r="Z406" s="22"/>
      <c r="AA406" s="52"/>
      <c r="AB406" s="22"/>
      <c r="AC406" s="52"/>
      <c r="AD406" s="52"/>
      <c r="AE406" s="22"/>
      <c r="AF406" s="22"/>
      <c r="AG406" s="22"/>
      <c r="AH406" s="52"/>
      <c r="AI406" s="52"/>
      <c r="AJ406" s="52"/>
      <c r="AK406" s="52"/>
      <c r="AL406" s="22"/>
      <c r="AM406" s="52"/>
      <c r="AN406" s="22"/>
      <c r="AO406" s="22"/>
      <c r="AP406" s="22"/>
      <c r="AQ406" s="22"/>
      <c r="AR406" s="22"/>
      <c r="AS406" s="22"/>
      <c r="AT406" s="22"/>
      <c r="AU406" s="22"/>
      <c r="AV406" s="77"/>
      <c r="AW406" s="77"/>
      <c r="AX406" s="78"/>
      <c r="AY406" s="22"/>
      <c r="AZ406" s="22"/>
      <c r="BA406" s="22"/>
      <c r="BB406" s="22"/>
      <c r="BC406" s="22"/>
      <c r="BD406" s="22"/>
      <c r="BE406" s="22"/>
      <c r="BF406" s="22"/>
      <c r="BG406" s="22"/>
      <c r="BH406" s="22"/>
      <c r="BI406" s="22"/>
      <c r="BJ406" s="40"/>
      <c r="BK406" s="19"/>
      <c r="BL406" s="19"/>
      <c r="BM406" s="19"/>
      <c r="BN406" s="19"/>
      <c r="BO406" s="19"/>
      <c r="BP406" s="19"/>
      <c r="BQ406" s="19"/>
      <c r="BR406" s="19"/>
      <c r="BS406" s="19"/>
      <c r="BT406" s="19"/>
      <c r="BU406" s="19"/>
      <c r="BV406" s="19"/>
      <c r="BW406" s="19"/>
      <c r="BX406" s="19"/>
      <c r="BY406" s="19"/>
      <c r="BZ406" s="19"/>
      <c r="CA406" s="19"/>
      <c r="CB406" s="19"/>
      <c r="CC406" s="19"/>
      <c r="CD406" s="19"/>
      <c r="CE406" s="48"/>
      <c r="CF406" s="48"/>
      <c r="CG406" s="48"/>
      <c r="CH406" s="48"/>
      <c r="CI406" s="48"/>
      <c r="CJ406" s="48"/>
      <c r="CK406" s="48"/>
      <c r="CL406" s="48"/>
      <c r="CM406" s="48"/>
      <c r="CN406" s="48"/>
      <c r="CO406" s="48"/>
      <c r="CP406" s="48"/>
      <c r="CQ406" s="48"/>
      <c r="CR406" s="48"/>
      <c r="CS406" s="48"/>
      <c r="CT406" s="48"/>
      <c r="CU406" s="48"/>
      <c r="CV406" s="48"/>
      <c r="CW406" s="19"/>
      <c r="CX406" s="19"/>
      <c r="CY406" s="19"/>
      <c r="CZ406" s="19"/>
      <c r="DA406" s="21"/>
      <c r="DB406" s="21"/>
      <c r="DC406" s="79"/>
      <c r="DD406" s="79"/>
      <c r="DE406" s="79"/>
      <c r="DF406" s="79"/>
      <c r="DG406" s="79"/>
      <c r="DH406" s="51"/>
      <c r="DI406" s="39"/>
      <c r="DJ406" s="80"/>
      <c r="DK406" s="39"/>
      <c r="DL406" s="39"/>
      <c r="DM406" s="48"/>
      <c r="DN406" s="39"/>
      <c r="DO406" s="39"/>
      <c r="DP406" s="39"/>
      <c r="DQ406" s="39"/>
      <c r="DR406" s="39"/>
      <c r="DS406" s="39"/>
      <c r="DT406" s="39"/>
      <c r="DU406" s="19"/>
      <c r="DV406" s="40"/>
      <c r="DW406" s="40"/>
      <c r="DX406" s="46"/>
      <c r="DY406" s="21"/>
      <c r="DZ406" s="19"/>
      <c r="EA406" s="19"/>
      <c r="EB406" s="19"/>
      <c r="EC406" s="48"/>
      <c r="ED406" s="48"/>
      <c r="EE406" s="22"/>
      <c r="EF406" s="22"/>
      <c r="EG406" s="22"/>
      <c r="EH406" s="22"/>
      <c r="EI406" s="22"/>
      <c r="EJ406" s="22"/>
      <c r="EK406" s="40"/>
      <c r="EL406" s="19"/>
      <c r="EM406" s="19"/>
      <c r="EN406" s="146"/>
      <c r="EO406" s="146"/>
      <c r="EP406" s="146"/>
      <c r="EQ406" s="21"/>
      <c r="ER406" s="21"/>
      <c r="ES406" s="21"/>
      <c r="ET406" s="21"/>
      <c r="EU406" s="19"/>
      <c r="EV406" s="21"/>
      <c r="EW406" s="39"/>
      <c r="EX406" s="39"/>
      <c r="EY406" s="39"/>
      <c r="EZ406" s="39"/>
      <c r="FA406" s="39"/>
      <c r="FB406" s="39"/>
      <c r="FC406" s="39"/>
      <c r="FD406" s="39"/>
      <c r="FE406" s="39"/>
      <c r="FF406" s="39"/>
      <c r="FG406" s="39"/>
      <c r="FH406" s="39"/>
      <c r="FI406" s="39"/>
      <c r="FJ406" s="19"/>
      <c r="FK406" s="19"/>
      <c r="FL406" s="19"/>
      <c r="FM406" s="19"/>
      <c r="FN406" s="19"/>
      <c r="FO406" s="22"/>
      <c r="FP406" s="22"/>
      <c r="FQ406" s="22"/>
      <c r="FR406" s="22"/>
      <c r="FS406" s="22"/>
      <c r="FT406" s="22"/>
      <c r="FU406" s="40"/>
      <c r="FV406" s="19"/>
      <c r="FW406" s="19"/>
      <c r="FX406" s="19"/>
      <c r="FY406" s="19"/>
      <c r="FZ406" s="19"/>
      <c r="GA406" s="19"/>
      <c r="GB406" s="19"/>
      <c r="GC406" s="20"/>
      <c r="GD406" s="20"/>
      <c r="GE406" s="21"/>
      <c r="GF406" s="21"/>
      <c r="GG406" s="21"/>
      <c r="GH406" s="21"/>
      <c r="GI406" s="21"/>
      <c r="GJ406" s="21"/>
      <c r="GK406" s="21"/>
      <c r="GL406" s="21"/>
      <c r="GM406" s="19"/>
      <c r="GN406" s="19"/>
      <c r="GO406" s="22"/>
      <c r="GP406" s="22"/>
      <c r="GQ406" s="22"/>
      <c r="GR406" s="22"/>
      <c r="GS406" s="22"/>
      <c r="GT406" s="22"/>
      <c r="GU406" s="43"/>
      <c r="GV406" s="19"/>
      <c r="GW406" s="19"/>
      <c r="GX406" s="19"/>
      <c r="GY406" s="19"/>
      <c r="GZ406" s="23"/>
      <c r="HA406" s="22"/>
      <c r="HB406" s="22"/>
      <c r="HC406" s="22"/>
      <c r="HD406" s="22"/>
      <c r="HE406" s="22"/>
      <c r="HF406" s="22"/>
      <c r="HG406" s="233"/>
    </row>
    <row r="407" spans="1:215" ht="15.75">
      <c r="B407" s="15"/>
      <c r="C407" s="161" t="s">
        <v>405</v>
      </c>
      <c r="D407" s="73"/>
      <c r="E407" s="73"/>
      <c r="F407" s="73"/>
      <c r="G407" s="73"/>
      <c r="H407" s="73"/>
      <c r="I407" s="73"/>
      <c r="J407" s="74"/>
      <c r="K407" s="74"/>
      <c r="L407" s="74"/>
      <c r="M407" s="73"/>
      <c r="N407" s="73"/>
      <c r="O407" s="73"/>
      <c r="P407" s="73"/>
      <c r="Q407" s="73"/>
      <c r="R407" s="73"/>
      <c r="S407" s="74"/>
      <c r="T407" s="74"/>
      <c r="U407" s="74"/>
      <c r="V407" s="52"/>
      <c r="W407" s="52"/>
      <c r="X407" s="52"/>
      <c r="Y407" s="52"/>
      <c r="Z407" s="22"/>
      <c r="AA407" s="52"/>
      <c r="AB407" s="22"/>
      <c r="AC407" s="52"/>
      <c r="AD407" s="52"/>
      <c r="AE407" s="22"/>
      <c r="AF407" s="22"/>
      <c r="AG407" s="22"/>
      <c r="AH407" s="52"/>
      <c r="AI407" s="52"/>
      <c r="AJ407" s="52"/>
      <c r="AK407" s="52"/>
      <c r="AL407" s="22"/>
      <c r="AM407" s="52"/>
      <c r="AN407" s="22"/>
      <c r="AO407" s="22"/>
      <c r="AP407" s="22"/>
      <c r="AQ407" s="22"/>
      <c r="AR407" s="22"/>
      <c r="AS407" s="22"/>
      <c r="AT407" s="22"/>
      <c r="AU407" s="22"/>
      <c r="AV407" s="77"/>
      <c r="AW407" s="77"/>
      <c r="AX407" s="78"/>
      <c r="AY407" s="22"/>
      <c r="AZ407" s="22"/>
      <c r="BA407" s="22"/>
      <c r="BB407" s="22"/>
      <c r="BC407" s="22"/>
      <c r="BD407" s="22"/>
      <c r="BE407" s="22"/>
      <c r="BF407" s="22"/>
      <c r="BG407" s="22"/>
      <c r="BH407" s="22"/>
      <c r="BI407" s="22"/>
      <c r="BJ407" s="40"/>
      <c r="BK407" s="19"/>
      <c r="BL407" s="19"/>
      <c r="BM407" s="19"/>
      <c r="BN407" s="19"/>
      <c r="BO407" s="19"/>
      <c r="BP407" s="19"/>
      <c r="BQ407" s="19"/>
      <c r="BR407" s="19"/>
      <c r="BS407" s="19"/>
      <c r="BT407" s="19"/>
      <c r="BU407" s="19"/>
      <c r="BV407" s="19"/>
      <c r="BW407" s="19"/>
      <c r="BX407" s="19"/>
      <c r="BY407" s="19"/>
      <c r="BZ407" s="19"/>
      <c r="CA407" s="19"/>
      <c r="CB407" s="19"/>
      <c r="CC407" s="19"/>
      <c r="CD407" s="19"/>
      <c r="CE407" s="48"/>
      <c r="CF407" s="48"/>
      <c r="CG407" s="48"/>
      <c r="CH407" s="48"/>
      <c r="CI407" s="48"/>
      <c r="CJ407" s="48"/>
      <c r="CK407" s="48"/>
      <c r="CL407" s="48"/>
      <c r="CM407" s="48"/>
      <c r="CN407" s="48"/>
      <c r="CO407" s="48"/>
      <c r="CP407" s="48"/>
      <c r="CQ407" s="48"/>
      <c r="CR407" s="48"/>
      <c r="CS407" s="48"/>
      <c r="CT407" s="48"/>
      <c r="CU407" s="48"/>
      <c r="CV407" s="48"/>
      <c r="CW407" s="19"/>
      <c r="CX407" s="19"/>
      <c r="CY407" s="19"/>
      <c r="CZ407" s="19"/>
      <c r="DA407" s="21"/>
      <c r="DB407" s="21"/>
      <c r="DC407" s="79"/>
      <c r="DD407" s="79"/>
      <c r="DE407" s="79"/>
      <c r="DF407" s="79"/>
      <c r="DG407" s="79"/>
      <c r="DH407" s="51"/>
      <c r="DI407" s="39"/>
      <c r="DJ407" s="80"/>
      <c r="DK407" s="39"/>
      <c r="DL407" s="39"/>
      <c r="DM407" s="48"/>
      <c r="DN407" s="39"/>
      <c r="DO407" s="39"/>
      <c r="DP407" s="39"/>
      <c r="DQ407" s="39"/>
      <c r="DR407" s="39"/>
      <c r="DS407" s="39"/>
      <c r="DT407" s="39"/>
      <c r="DU407" s="19"/>
      <c r="DV407" s="40"/>
      <c r="DW407" s="40"/>
      <c r="DX407" s="46"/>
      <c r="DY407" s="21"/>
      <c r="DZ407" s="19"/>
      <c r="EA407" s="19"/>
      <c r="EB407" s="19"/>
      <c r="EC407" s="48"/>
      <c r="ED407" s="48"/>
      <c r="EE407" s="22"/>
      <c r="EF407" s="22"/>
      <c r="EG407" s="22"/>
      <c r="EH407" s="22"/>
      <c r="EI407" s="22"/>
      <c r="EJ407" s="22"/>
      <c r="EK407" s="40"/>
      <c r="EL407" s="19"/>
      <c r="EM407" s="19"/>
      <c r="EN407" s="146"/>
      <c r="EO407" s="146"/>
      <c r="EP407" s="146"/>
      <c r="EQ407" s="21"/>
      <c r="ER407" s="21"/>
      <c r="ES407" s="21"/>
      <c r="ET407" s="21"/>
      <c r="EU407" s="19"/>
      <c r="EV407" s="21"/>
      <c r="EW407" s="39"/>
      <c r="EX407" s="39"/>
      <c r="EY407" s="39"/>
      <c r="EZ407" s="39"/>
      <c r="FA407" s="39"/>
      <c r="FB407" s="39"/>
      <c r="FC407" s="39"/>
      <c r="FD407" s="39"/>
      <c r="FE407" s="39"/>
      <c r="FF407" s="39"/>
      <c r="FG407" s="39"/>
      <c r="FH407" s="39"/>
      <c r="FI407" s="39"/>
      <c r="FJ407" s="19"/>
      <c r="FK407" s="19"/>
      <c r="FL407" s="19"/>
      <c r="FM407" s="19"/>
      <c r="FN407" s="19"/>
      <c r="FO407" s="22">
        <v>91.69</v>
      </c>
      <c r="FP407" s="22">
        <v>93.93</v>
      </c>
      <c r="FQ407" s="22"/>
      <c r="FR407" s="22" t="s">
        <v>633</v>
      </c>
      <c r="FS407" s="22" t="s">
        <v>633</v>
      </c>
      <c r="FT407" s="22"/>
      <c r="FU407" s="40" t="s">
        <v>709</v>
      </c>
      <c r="FV407" s="19"/>
      <c r="FW407" s="19"/>
      <c r="FX407" s="19"/>
      <c r="FY407" s="19"/>
      <c r="FZ407" s="19"/>
      <c r="GA407" s="19"/>
      <c r="GB407" s="19"/>
      <c r="GC407" s="20"/>
      <c r="GD407" s="20"/>
      <c r="GE407" s="21"/>
      <c r="GF407" s="21"/>
      <c r="GG407" s="21"/>
      <c r="GH407" s="21"/>
      <c r="GI407" s="21"/>
      <c r="GJ407" s="21"/>
      <c r="GK407" s="21"/>
      <c r="GL407" s="21"/>
      <c r="GM407" s="19"/>
      <c r="GN407" s="19"/>
      <c r="GO407" s="22">
        <v>94.14</v>
      </c>
      <c r="GP407" s="22">
        <v>96.67</v>
      </c>
      <c r="GQ407" s="22"/>
      <c r="GR407" s="22" t="s">
        <v>633</v>
      </c>
      <c r="GS407" s="22" t="s">
        <v>633</v>
      </c>
      <c r="GT407" s="22"/>
      <c r="GU407" s="40" t="s">
        <v>709</v>
      </c>
      <c r="GV407" s="19"/>
      <c r="GW407" s="19"/>
      <c r="GX407" s="19"/>
      <c r="GY407" s="19"/>
      <c r="GZ407" s="23"/>
      <c r="HA407" s="22" t="s">
        <v>633</v>
      </c>
      <c r="HB407" s="22" t="s">
        <v>633</v>
      </c>
      <c r="HC407" s="22"/>
      <c r="HD407" s="22" t="s">
        <v>633</v>
      </c>
      <c r="HE407" s="22" t="s">
        <v>633</v>
      </c>
      <c r="HF407" s="22"/>
      <c r="HG407" s="233" t="s">
        <v>633</v>
      </c>
    </row>
    <row r="408" spans="1:215" ht="15.75">
      <c r="B408" s="15" t="s">
        <v>525</v>
      </c>
      <c r="C408" s="81" t="s">
        <v>582</v>
      </c>
      <c r="D408" s="73"/>
      <c r="E408" s="73"/>
      <c r="F408" s="73"/>
      <c r="G408" s="73"/>
      <c r="H408" s="73"/>
      <c r="I408" s="73"/>
      <c r="J408" s="74"/>
      <c r="K408" s="74"/>
      <c r="L408" s="74"/>
      <c r="M408" s="73"/>
      <c r="N408" s="73"/>
      <c r="O408" s="73"/>
      <c r="P408" s="73"/>
      <c r="Q408" s="73"/>
      <c r="R408" s="73"/>
      <c r="S408" s="74"/>
      <c r="T408" s="74"/>
      <c r="U408" s="74"/>
      <c r="V408" s="52"/>
      <c r="W408" s="52"/>
      <c r="X408" s="52"/>
      <c r="Y408" s="52"/>
      <c r="Z408" s="22"/>
      <c r="AA408" s="52"/>
      <c r="AB408" s="22"/>
      <c r="AC408" s="52"/>
      <c r="AD408" s="52"/>
      <c r="AE408" s="22"/>
      <c r="AF408" s="22"/>
      <c r="AG408" s="22"/>
      <c r="AH408" s="52"/>
      <c r="AI408" s="52"/>
      <c r="AJ408" s="52"/>
      <c r="AK408" s="52"/>
      <c r="AL408" s="22"/>
      <c r="AM408" s="52"/>
      <c r="AN408" s="22"/>
      <c r="AO408" s="22"/>
      <c r="AP408" s="22"/>
      <c r="AQ408" s="22"/>
      <c r="AR408" s="22"/>
      <c r="AS408" s="22"/>
      <c r="AT408" s="22"/>
      <c r="AU408" s="22"/>
      <c r="AV408" s="77"/>
      <c r="AW408" s="77"/>
      <c r="AX408" s="78"/>
      <c r="AY408" s="22"/>
      <c r="AZ408" s="22"/>
      <c r="BA408" s="22"/>
      <c r="BB408" s="22"/>
      <c r="BC408" s="22"/>
      <c r="BD408" s="22"/>
      <c r="BE408" s="22"/>
      <c r="BF408" s="22"/>
      <c r="BG408" s="22"/>
      <c r="BH408" s="22"/>
      <c r="BI408" s="22"/>
      <c r="BJ408" s="40"/>
      <c r="BK408" s="19"/>
      <c r="BL408" s="19"/>
      <c r="BM408" s="19"/>
      <c r="BN408" s="19"/>
      <c r="BO408" s="19"/>
      <c r="BP408" s="19"/>
      <c r="BQ408" s="19"/>
      <c r="BR408" s="19"/>
      <c r="BS408" s="19"/>
      <c r="BT408" s="19"/>
      <c r="BU408" s="19"/>
      <c r="BV408" s="19"/>
      <c r="BW408" s="19"/>
      <c r="BX408" s="19"/>
      <c r="BY408" s="19"/>
      <c r="BZ408" s="19"/>
      <c r="CA408" s="19"/>
      <c r="CB408" s="19"/>
      <c r="CC408" s="19"/>
      <c r="CD408" s="19"/>
      <c r="CE408" s="48"/>
      <c r="CF408" s="48"/>
      <c r="CG408" s="48"/>
      <c r="CH408" s="48"/>
      <c r="CI408" s="48"/>
      <c r="CJ408" s="48"/>
      <c r="CK408" s="48"/>
      <c r="CL408" s="48"/>
      <c r="CM408" s="48"/>
      <c r="CN408" s="48"/>
      <c r="CO408" s="48"/>
      <c r="CP408" s="48"/>
      <c r="CQ408" s="48"/>
      <c r="CR408" s="48"/>
      <c r="CS408" s="48"/>
      <c r="CT408" s="48"/>
      <c r="CU408" s="48"/>
      <c r="CV408" s="48"/>
      <c r="CW408" s="19"/>
      <c r="CX408" s="19"/>
      <c r="CY408" s="19"/>
      <c r="CZ408" s="19"/>
      <c r="DA408" s="21"/>
      <c r="DB408" s="21"/>
      <c r="DC408" s="79"/>
      <c r="DD408" s="79"/>
      <c r="DE408" s="79"/>
      <c r="DF408" s="79"/>
      <c r="DG408" s="79"/>
      <c r="DH408" s="51"/>
      <c r="DI408" s="39"/>
      <c r="DJ408" s="80"/>
      <c r="DK408" s="39"/>
      <c r="DL408" s="39"/>
      <c r="DM408" s="48"/>
      <c r="DN408" s="39"/>
      <c r="DO408" s="39"/>
      <c r="DP408" s="39"/>
      <c r="DQ408" s="39"/>
      <c r="DR408" s="39"/>
      <c r="DS408" s="39"/>
      <c r="DT408" s="39"/>
      <c r="DU408" s="19"/>
      <c r="DV408" s="40"/>
      <c r="DW408" s="40"/>
      <c r="DX408" s="46"/>
      <c r="DY408" s="21"/>
      <c r="DZ408" s="19"/>
      <c r="EA408" s="19"/>
      <c r="EB408" s="19"/>
      <c r="EC408" s="48"/>
      <c r="ED408" s="48"/>
      <c r="EE408" s="22"/>
      <c r="EF408" s="22"/>
      <c r="EG408" s="22"/>
      <c r="EH408" s="22"/>
      <c r="EI408" s="22"/>
      <c r="EJ408" s="22"/>
      <c r="EK408" s="40"/>
      <c r="EL408" s="19"/>
      <c r="EM408" s="19"/>
      <c r="EN408" s="146"/>
      <c r="EO408" s="146"/>
      <c r="EP408" s="146"/>
      <c r="EQ408" s="21"/>
      <c r="ER408" s="21"/>
      <c r="ES408" s="21"/>
      <c r="ET408" s="21"/>
      <c r="EU408" s="19"/>
      <c r="EV408" s="21"/>
      <c r="EW408" s="39"/>
      <c r="EX408" s="39"/>
      <c r="EY408" s="39"/>
      <c r="EZ408" s="39"/>
      <c r="FA408" s="39"/>
      <c r="FB408" s="39"/>
      <c r="FC408" s="39"/>
      <c r="FD408" s="39"/>
      <c r="FE408" s="39"/>
      <c r="FF408" s="39"/>
      <c r="FG408" s="39"/>
      <c r="FH408" s="39"/>
      <c r="FI408" s="39"/>
      <c r="FJ408" s="19"/>
      <c r="FK408" s="19"/>
      <c r="FL408" s="19"/>
      <c r="FM408" s="19"/>
      <c r="FN408" s="19"/>
      <c r="FO408" s="22"/>
      <c r="FP408" s="22"/>
      <c r="FQ408" s="22"/>
      <c r="FR408" s="22"/>
      <c r="FS408" s="22"/>
      <c r="FT408" s="22"/>
      <c r="FU408" s="40"/>
      <c r="FV408" s="19"/>
      <c r="FW408" s="19"/>
      <c r="FX408" s="19"/>
      <c r="FY408" s="19"/>
      <c r="FZ408" s="19"/>
      <c r="GA408" s="19"/>
      <c r="GB408" s="19"/>
      <c r="GC408" s="20"/>
      <c r="GD408" s="20"/>
      <c r="GE408" s="21"/>
      <c r="GF408" s="21"/>
      <c r="GG408" s="21"/>
      <c r="GH408" s="21"/>
      <c r="GI408" s="21"/>
      <c r="GJ408" s="21"/>
      <c r="GK408" s="21"/>
      <c r="GL408" s="21"/>
      <c r="GM408" s="19"/>
      <c r="GN408" s="19"/>
      <c r="GO408" s="22"/>
      <c r="GP408" s="22"/>
      <c r="GQ408" s="22"/>
      <c r="GR408" s="22"/>
      <c r="GS408" s="22"/>
      <c r="GT408" s="22"/>
      <c r="GU408" s="43"/>
      <c r="GV408" s="19"/>
      <c r="GW408" s="19"/>
      <c r="GX408" s="19"/>
      <c r="GY408" s="19"/>
      <c r="GZ408" s="23"/>
      <c r="HA408" s="22"/>
      <c r="HB408" s="22"/>
      <c r="HC408" s="22"/>
      <c r="HD408" s="22"/>
      <c r="HE408" s="22"/>
      <c r="HF408" s="22"/>
      <c r="HG408" s="233"/>
    </row>
    <row r="409" spans="1:215" ht="15.75">
      <c r="B409" s="10"/>
      <c r="C409" s="161" t="s">
        <v>204</v>
      </c>
      <c r="D409" s="73"/>
      <c r="E409" s="73"/>
      <c r="F409" s="73"/>
      <c r="G409" s="73"/>
      <c r="H409" s="73"/>
      <c r="I409" s="73"/>
      <c r="J409" s="74"/>
      <c r="K409" s="74"/>
      <c r="L409" s="74"/>
      <c r="M409" s="73"/>
      <c r="N409" s="73"/>
      <c r="O409" s="73"/>
      <c r="P409" s="73"/>
      <c r="Q409" s="73"/>
      <c r="R409" s="73"/>
      <c r="S409" s="74"/>
      <c r="T409" s="74"/>
      <c r="U409" s="74"/>
      <c r="V409" s="52"/>
      <c r="W409" s="52"/>
      <c r="X409" s="52"/>
      <c r="Y409" s="52"/>
      <c r="Z409" s="22"/>
      <c r="AA409" s="52"/>
      <c r="AB409" s="22"/>
      <c r="AC409" s="52"/>
      <c r="AD409" s="52"/>
      <c r="AE409" s="22"/>
      <c r="AF409" s="22"/>
      <c r="AG409" s="22"/>
      <c r="AH409" s="52"/>
      <c r="AI409" s="52"/>
      <c r="AJ409" s="52"/>
      <c r="AK409" s="52"/>
      <c r="AL409" s="22"/>
      <c r="AM409" s="52"/>
      <c r="AN409" s="22"/>
      <c r="AO409" s="22"/>
      <c r="AP409" s="22"/>
      <c r="AQ409" s="22"/>
      <c r="AR409" s="22"/>
      <c r="AS409" s="22"/>
      <c r="AT409" s="22"/>
      <c r="AU409" s="22"/>
      <c r="AV409" s="77"/>
      <c r="AW409" s="77"/>
      <c r="AX409" s="78"/>
      <c r="AY409" s="22"/>
      <c r="AZ409" s="22"/>
      <c r="BA409" s="22"/>
      <c r="BB409" s="22"/>
      <c r="BC409" s="22"/>
      <c r="BD409" s="22"/>
      <c r="BE409" s="22"/>
      <c r="BF409" s="22"/>
      <c r="BG409" s="22"/>
      <c r="BH409" s="22"/>
      <c r="BI409" s="22"/>
      <c r="BJ409" s="40"/>
      <c r="BK409" s="19"/>
      <c r="BL409" s="19"/>
      <c r="BM409" s="19"/>
      <c r="BN409" s="19"/>
      <c r="BO409" s="19"/>
      <c r="BP409" s="19"/>
      <c r="BQ409" s="19"/>
      <c r="BR409" s="19"/>
      <c r="BS409" s="19"/>
      <c r="BT409" s="19"/>
      <c r="BU409" s="19"/>
      <c r="BV409" s="19"/>
      <c r="BW409" s="19"/>
      <c r="BX409" s="19"/>
      <c r="BY409" s="19"/>
      <c r="BZ409" s="19"/>
      <c r="CA409" s="19"/>
      <c r="CB409" s="19"/>
      <c r="CC409" s="19"/>
      <c r="CD409" s="19"/>
      <c r="CE409" s="48"/>
      <c r="CF409" s="48"/>
      <c r="CG409" s="48"/>
      <c r="CH409" s="48"/>
      <c r="CI409" s="48"/>
      <c r="CJ409" s="48"/>
      <c r="CK409" s="48"/>
      <c r="CL409" s="48"/>
      <c r="CM409" s="48"/>
      <c r="CN409" s="48"/>
      <c r="CO409" s="48"/>
      <c r="CP409" s="48"/>
      <c r="CQ409" s="48"/>
      <c r="CR409" s="48"/>
      <c r="CS409" s="48"/>
      <c r="CT409" s="48"/>
      <c r="CU409" s="48"/>
      <c r="CV409" s="48"/>
      <c r="CW409" s="19"/>
      <c r="CX409" s="19"/>
      <c r="CY409" s="19"/>
      <c r="CZ409" s="19"/>
      <c r="DA409" s="21"/>
      <c r="DB409" s="21"/>
      <c r="DC409" s="79"/>
      <c r="DD409" s="79"/>
      <c r="DE409" s="79"/>
      <c r="DF409" s="79"/>
      <c r="DG409" s="79"/>
      <c r="DH409" s="51"/>
      <c r="DI409" s="39"/>
      <c r="DJ409" s="80"/>
      <c r="DK409" s="39"/>
      <c r="DL409" s="39"/>
      <c r="DM409" s="48"/>
      <c r="DN409" s="39"/>
      <c r="DO409" s="39"/>
      <c r="DP409" s="39"/>
      <c r="DQ409" s="39"/>
      <c r="DR409" s="39"/>
      <c r="DS409" s="39"/>
      <c r="DT409" s="39"/>
      <c r="DU409" s="19"/>
      <c r="DV409" s="40"/>
      <c r="DW409" s="40"/>
      <c r="DX409" s="46"/>
      <c r="DY409" s="21"/>
      <c r="DZ409" s="19"/>
      <c r="EA409" s="19"/>
      <c r="EB409" s="19"/>
      <c r="EC409" s="48"/>
      <c r="ED409" s="48"/>
      <c r="EE409" s="22"/>
      <c r="EF409" s="22"/>
      <c r="EG409" s="22"/>
      <c r="EH409" s="22"/>
      <c r="EI409" s="22"/>
      <c r="EJ409" s="22"/>
      <c r="EK409" s="40"/>
      <c r="EL409" s="19"/>
      <c r="EM409" s="19"/>
      <c r="EN409" s="146"/>
      <c r="EO409" s="146"/>
      <c r="EP409" s="146"/>
      <c r="EQ409" s="21"/>
      <c r="ER409" s="21"/>
      <c r="ES409" s="21"/>
      <c r="ET409" s="21"/>
      <c r="EU409" s="19"/>
      <c r="EV409" s="21"/>
      <c r="EW409" s="39"/>
      <c r="EX409" s="39"/>
      <c r="EY409" s="39"/>
      <c r="EZ409" s="39"/>
      <c r="FA409" s="39"/>
      <c r="FB409" s="39"/>
      <c r="FC409" s="39"/>
      <c r="FD409" s="39"/>
      <c r="FE409" s="39"/>
      <c r="FF409" s="39"/>
      <c r="FG409" s="39"/>
      <c r="FH409" s="39"/>
      <c r="FI409" s="39"/>
      <c r="FJ409" s="19"/>
      <c r="FK409" s="19"/>
      <c r="FL409" s="19"/>
      <c r="FM409" s="19"/>
      <c r="FN409" s="19"/>
      <c r="FO409" s="22">
        <v>1771.74</v>
      </c>
      <c r="FP409" s="22">
        <v>1798.63</v>
      </c>
      <c r="FQ409" s="22"/>
      <c r="FR409" s="22">
        <v>2126.09</v>
      </c>
      <c r="FS409" s="22">
        <v>2158.35</v>
      </c>
      <c r="FT409" s="22"/>
      <c r="FU409" s="40" t="s">
        <v>629</v>
      </c>
      <c r="FV409" s="19"/>
      <c r="FW409" s="19"/>
      <c r="FX409" s="19"/>
      <c r="FY409" s="19"/>
      <c r="FZ409" s="19"/>
      <c r="GA409" s="19"/>
      <c r="GB409" s="19"/>
      <c r="GC409" s="20"/>
      <c r="GD409" s="20"/>
      <c r="GE409" s="21"/>
      <c r="GF409" s="21"/>
      <c r="GG409" s="21"/>
      <c r="GH409" s="21"/>
      <c r="GI409" s="21"/>
      <c r="GJ409" s="21"/>
      <c r="GK409" s="21"/>
      <c r="GL409" s="21"/>
      <c r="GM409" s="19"/>
      <c r="GN409" s="19"/>
      <c r="GO409" s="22" t="s">
        <v>633</v>
      </c>
      <c r="GP409" s="22" t="s">
        <v>633</v>
      </c>
      <c r="GQ409" s="22"/>
      <c r="GR409" s="22" t="s">
        <v>633</v>
      </c>
      <c r="GS409" s="22" t="s">
        <v>633</v>
      </c>
      <c r="GT409" s="22"/>
      <c r="GU409" s="43" t="s">
        <v>633</v>
      </c>
      <c r="GV409" s="19"/>
      <c r="GW409" s="19"/>
      <c r="GX409" s="19"/>
      <c r="GY409" s="19"/>
      <c r="GZ409" s="23"/>
      <c r="HA409" s="22" t="s">
        <v>633</v>
      </c>
      <c r="HB409" s="22" t="s">
        <v>633</v>
      </c>
      <c r="HC409" s="22"/>
      <c r="HD409" s="22" t="s">
        <v>633</v>
      </c>
      <c r="HE409" s="22" t="s">
        <v>633</v>
      </c>
      <c r="HF409" s="22"/>
      <c r="HG409" s="233" t="s">
        <v>633</v>
      </c>
    </row>
    <row r="410" spans="1:215" ht="16.5" thickBot="1">
      <c r="B410" s="16"/>
      <c r="C410" s="184" t="s">
        <v>300</v>
      </c>
      <c r="D410" s="73"/>
      <c r="E410" s="73"/>
      <c r="F410" s="73"/>
      <c r="G410" s="73"/>
      <c r="H410" s="73"/>
      <c r="I410" s="73"/>
      <c r="J410" s="74"/>
      <c r="K410" s="74"/>
      <c r="L410" s="74"/>
      <c r="M410" s="73"/>
      <c r="N410" s="73"/>
      <c r="O410" s="73"/>
      <c r="P410" s="73"/>
      <c r="Q410" s="73"/>
      <c r="R410" s="73"/>
      <c r="S410" s="74"/>
      <c r="T410" s="74"/>
      <c r="U410" s="74"/>
      <c r="V410" s="52"/>
      <c r="W410" s="52"/>
      <c r="X410" s="52"/>
      <c r="Y410" s="52"/>
      <c r="Z410" s="22"/>
      <c r="AA410" s="52"/>
      <c r="AB410" s="22"/>
      <c r="AC410" s="52"/>
      <c r="AD410" s="52"/>
      <c r="AE410" s="22"/>
      <c r="AF410" s="22"/>
      <c r="AG410" s="22"/>
      <c r="AH410" s="52"/>
      <c r="AI410" s="52"/>
      <c r="AJ410" s="52"/>
      <c r="AK410" s="52"/>
      <c r="AL410" s="22"/>
      <c r="AM410" s="52"/>
      <c r="AN410" s="22"/>
      <c r="AO410" s="22"/>
      <c r="AP410" s="22"/>
      <c r="AQ410" s="22"/>
      <c r="AR410" s="22"/>
      <c r="AS410" s="22"/>
      <c r="AT410" s="22"/>
      <c r="AU410" s="22"/>
      <c r="AV410" s="77"/>
      <c r="AW410" s="77"/>
      <c r="AX410" s="78"/>
      <c r="AY410" s="22"/>
      <c r="AZ410" s="22"/>
      <c r="BA410" s="22"/>
      <c r="BB410" s="22"/>
      <c r="BC410" s="22"/>
      <c r="BD410" s="22"/>
      <c r="BE410" s="22"/>
      <c r="BF410" s="22"/>
      <c r="BG410" s="22"/>
      <c r="BH410" s="22"/>
      <c r="BI410" s="22"/>
      <c r="BJ410" s="40"/>
      <c r="BK410" s="19"/>
      <c r="BL410" s="19"/>
      <c r="BM410" s="19"/>
      <c r="BN410" s="19"/>
      <c r="BO410" s="19"/>
      <c r="BP410" s="19"/>
      <c r="BQ410" s="19"/>
      <c r="BR410" s="19"/>
      <c r="BS410" s="19"/>
      <c r="BT410" s="19"/>
      <c r="BU410" s="19"/>
      <c r="BV410" s="19"/>
      <c r="BW410" s="19"/>
      <c r="BX410" s="19"/>
      <c r="BY410" s="19"/>
      <c r="BZ410" s="19"/>
      <c r="CA410" s="19"/>
      <c r="CB410" s="19"/>
      <c r="CC410" s="19"/>
      <c r="CD410" s="19"/>
      <c r="CE410" s="48"/>
      <c r="CF410" s="48"/>
      <c r="CG410" s="48"/>
      <c r="CH410" s="48"/>
      <c r="CI410" s="48"/>
      <c r="CJ410" s="48"/>
      <c r="CK410" s="48"/>
      <c r="CL410" s="48"/>
      <c r="CM410" s="48"/>
      <c r="CN410" s="48"/>
      <c r="CO410" s="48"/>
      <c r="CP410" s="48"/>
      <c r="CQ410" s="48"/>
      <c r="CR410" s="48"/>
      <c r="CS410" s="48"/>
      <c r="CT410" s="48"/>
      <c r="CU410" s="48"/>
      <c r="CV410" s="48"/>
      <c r="CW410" s="19"/>
      <c r="CX410" s="19"/>
      <c r="CY410" s="19"/>
      <c r="CZ410" s="19"/>
      <c r="DA410" s="21"/>
      <c r="DB410" s="21"/>
      <c r="DC410" s="79"/>
      <c r="DD410" s="79"/>
      <c r="DE410" s="79"/>
      <c r="DF410" s="79"/>
      <c r="DG410" s="79"/>
      <c r="DH410" s="51"/>
      <c r="DI410" s="39"/>
      <c r="DJ410" s="80"/>
      <c r="DK410" s="39"/>
      <c r="DL410" s="39"/>
      <c r="DM410" s="48"/>
      <c r="DN410" s="39"/>
      <c r="DO410" s="39"/>
      <c r="DP410" s="39"/>
      <c r="DQ410" s="39"/>
      <c r="DR410" s="39"/>
      <c r="DS410" s="39"/>
      <c r="DT410" s="39"/>
      <c r="DU410" s="19"/>
      <c r="DV410" s="40"/>
      <c r="DW410" s="40"/>
      <c r="DX410" s="46"/>
      <c r="DY410" s="21"/>
      <c r="DZ410" s="19"/>
      <c r="EA410" s="19"/>
      <c r="EB410" s="19"/>
      <c r="EC410" s="48"/>
      <c r="ED410" s="48"/>
      <c r="EE410" s="22"/>
      <c r="EF410" s="22"/>
      <c r="EG410" s="22"/>
      <c r="EH410" s="22"/>
      <c r="EI410" s="22"/>
      <c r="EJ410" s="22"/>
      <c r="EK410" s="40"/>
      <c r="EL410" s="19"/>
      <c r="EM410" s="19"/>
      <c r="EN410" s="146"/>
      <c r="EO410" s="146"/>
      <c r="EP410" s="146"/>
      <c r="EQ410" s="21"/>
      <c r="ER410" s="21"/>
      <c r="ES410" s="21"/>
      <c r="ET410" s="21"/>
      <c r="EU410" s="19"/>
      <c r="EV410" s="21"/>
      <c r="EW410" s="39"/>
      <c r="EX410" s="39"/>
      <c r="EY410" s="39"/>
      <c r="EZ410" s="39"/>
      <c r="FA410" s="39"/>
      <c r="FB410" s="39"/>
      <c r="FC410" s="39"/>
      <c r="FD410" s="39"/>
      <c r="FE410" s="39"/>
      <c r="FF410" s="39"/>
      <c r="FG410" s="39"/>
      <c r="FH410" s="39"/>
      <c r="FI410" s="39"/>
      <c r="FJ410" s="19"/>
      <c r="FK410" s="19"/>
      <c r="FL410" s="19"/>
      <c r="FM410" s="19"/>
      <c r="FN410" s="19"/>
      <c r="FO410" s="22">
        <v>128.94</v>
      </c>
      <c r="FP410" s="22">
        <v>132.16</v>
      </c>
      <c r="FQ410" s="22"/>
      <c r="FR410" s="22">
        <v>154.72999999999999</v>
      </c>
      <c r="FS410" s="22">
        <v>158.59</v>
      </c>
      <c r="FT410" s="22"/>
      <c r="FU410" s="40" t="s">
        <v>713</v>
      </c>
      <c r="FV410" s="19"/>
      <c r="FW410" s="19"/>
      <c r="FX410" s="19"/>
      <c r="FY410" s="19"/>
      <c r="FZ410" s="19"/>
      <c r="GA410" s="19"/>
      <c r="GB410" s="19"/>
      <c r="GC410" s="20"/>
      <c r="GD410" s="20"/>
      <c r="GE410" s="21"/>
      <c r="GF410" s="21"/>
      <c r="GG410" s="21"/>
      <c r="GH410" s="21"/>
      <c r="GI410" s="21"/>
      <c r="GJ410" s="21"/>
      <c r="GK410" s="21"/>
      <c r="GL410" s="21"/>
      <c r="GM410" s="19"/>
      <c r="GN410" s="19"/>
      <c r="GO410" s="22" t="s">
        <v>633</v>
      </c>
      <c r="GP410" s="22" t="s">
        <v>633</v>
      </c>
      <c r="GQ410" s="22"/>
      <c r="GR410" s="22" t="s">
        <v>633</v>
      </c>
      <c r="GS410" s="22" t="s">
        <v>633</v>
      </c>
      <c r="GT410" s="22"/>
      <c r="GU410" s="43" t="s">
        <v>633</v>
      </c>
      <c r="GV410" s="19"/>
      <c r="GW410" s="19"/>
      <c r="GX410" s="19"/>
      <c r="GY410" s="19"/>
      <c r="GZ410" s="23"/>
      <c r="HA410" s="22" t="s">
        <v>633</v>
      </c>
      <c r="HB410" s="22" t="s">
        <v>633</v>
      </c>
      <c r="HC410" s="22"/>
      <c r="HD410" s="22" t="s">
        <v>633</v>
      </c>
      <c r="HE410" s="22" t="s">
        <v>633</v>
      </c>
      <c r="HF410" s="22"/>
      <c r="HG410" s="233" t="s">
        <v>633</v>
      </c>
    </row>
    <row r="411" spans="1:215" ht="19.899999999999999" hidden="1" customHeight="1" thickBot="1">
      <c r="B411" s="228"/>
      <c r="C411" s="199" t="s">
        <v>148</v>
      </c>
      <c r="D411" s="200"/>
      <c r="E411" s="200"/>
      <c r="F411" s="200"/>
      <c r="G411" s="200"/>
      <c r="H411" s="200"/>
      <c r="I411" s="200"/>
      <c r="J411" s="200"/>
      <c r="K411" s="200"/>
      <c r="L411" s="200"/>
      <c r="M411" s="200"/>
      <c r="N411" s="200"/>
      <c r="O411" s="200"/>
      <c r="P411" s="200"/>
      <c r="Q411" s="200"/>
      <c r="R411" s="200"/>
      <c r="S411" s="200"/>
      <c r="T411" s="200"/>
      <c r="U411" s="200"/>
      <c r="V411" s="39"/>
      <c r="W411" s="39"/>
      <c r="X411" s="52">
        <f>+IF(V411=0,,W411/V411*100)</f>
        <v>0</v>
      </c>
      <c r="Y411" s="39"/>
      <c r="Z411" s="39"/>
      <c r="AA411" s="39"/>
      <c r="AB411" s="39"/>
      <c r="AC411" s="39"/>
      <c r="AD411" s="39"/>
      <c r="AE411" s="50">
        <f t="shared" ref="AE411" si="1608">+IF(AC411=0,,AF411/AC411*100)</f>
        <v>0</v>
      </c>
      <c r="AF411" s="39"/>
      <c r="AG411" s="39"/>
      <c r="AH411" s="39"/>
      <c r="AI411" s="39"/>
      <c r="AJ411" s="39"/>
      <c r="AK411" s="39"/>
      <c r="AL411" s="22">
        <f t="shared" si="1555"/>
        <v>0</v>
      </c>
      <c r="AM411" s="39"/>
      <c r="AN411" s="39"/>
      <c r="AO411" s="39"/>
      <c r="AP411" s="39"/>
      <c r="AQ411" s="39"/>
      <c r="AR411" s="39"/>
      <c r="AS411" s="50">
        <f t="shared" ref="AS411" si="1609">+IF(AQ411=0,,AT411/AQ411*100)</f>
        <v>0</v>
      </c>
      <c r="AT411" s="39"/>
      <c r="AU411" s="39"/>
      <c r="AV411" s="77"/>
      <c r="AW411" s="77"/>
      <c r="AX411" s="78"/>
      <c r="AY411" s="78"/>
      <c r="AZ411" s="78"/>
      <c r="BA411" s="78"/>
      <c r="BB411" s="78"/>
      <c r="BC411" s="39"/>
      <c r="BD411" s="39"/>
      <c r="BE411" s="22">
        <f>+IF(BC411=0,,BD411/BC411*100)</f>
        <v>0</v>
      </c>
      <c r="BF411" s="39"/>
      <c r="BG411" s="39"/>
      <c r="BH411" s="22">
        <f>+IF(BF411=0,,BG411/BF411*100)</f>
        <v>0</v>
      </c>
      <c r="BI411" s="22"/>
      <c r="BJ411" s="40"/>
      <c r="BK411" s="48" t="e">
        <f t="shared" ref="BK411:CD411" si="1610">+BK412+BK419+BK420+BK424+BK425</f>
        <v>#REF!</v>
      </c>
      <c r="BL411" s="48" t="e">
        <f t="shared" si="1610"/>
        <v>#REF!</v>
      </c>
      <c r="BM411" s="48" t="e">
        <f t="shared" si="1610"/>
        <v>#REF!</v>
      </c>
      <c r="BN411" s="48" t="e">
        <f t="shared" si="1610"/>
        <v>#REF!</v>
      </c>
      <c r="BO411" s="48" t="e">
        <f t="shared" si="1610"/>
        <v>#REF!</v>
      </c>
      <c r="BP411" s="48" t="e">
        <f t="shared" si="1610"/>
        <v>#REF!</v>
      </c>
      <c r="BQ411" s="48" t="e">
        <f t="shared" si="1610"/>
        <v>#REF!</v>
      </c>
      <c r="BR411" s="48" t="e">
        <f t="shared" si="1610"/>
        <v>#REF!</v>
      </c>
      <c r="BS411" s="48" t="e">
        <f t="shared" si="1610"/>
        <v>#REF!</v>
      </c>
      <c r="BT411" s="48" t="e">
        <f t="shared" si="1610"/>
        <v>#REF!</v>
      </c>
      <c r="BU411" s="48" t="e">
        <f>+BU9+#REF!+#REF!+#REF!+#REF!+#REF!+#REF!+#REF!+#REF!+#REF!+#REF!+#REF!+#REF!+#REF!+#REF!+#REF!+#REF!+#REF!+#REF!+#REF!+#REF!+#REF!+#REF!+#REF!+#REF!+#REF!+#REF!+#REF!+#REF!+#REF!+#REF!+BU223+BU222+BU224+#REF!+#REF!+#REF!+#REF!+#REF!+#REF!+#REF!+#REF!+#REF!+#REF!+#REF!+#REF!+#REF!+#REF!+#REF!+#REF!+#REF!</f>
        <v>#REF!</v>
      </c>
      <c r="BV411" s="48" t="e">
        <f t="shared" si="1610"/>
        <v>#REF!</v>
      </c>
      <c r="BW411" s="48" t="e">
        <f t="shared" si="1610"/>
        <v>#REF!</v>
      </c>
      <c r="BX411" s="48" t="e">
        <f t="shared" si="1610"/>
        <v>#REF!</v>
      </c>
      <c r="BY411" s="48" t="e">
        <f t="shared" si="1610"/>
        <v>#REF!</v>
      </c>
      <c r="BZ411" s="48" t="e">
        <f t="shared" si="1610"/>
        <v>#REF!</v>
      </c>
      <c r="CA411" s="48" t="e">
        <f t="shared" si="1610"/>
        <v>#REF!</v>
      </c>
      <c r="CB411" s="48" t="e">
        <f t="shared" si="1610"/>
        <v>#REF!</v>
      </c>
      <c r="CC411" s="48" t="e">
        <f>+CC412+CC419+CC420+CC424+CC425</f>
        <v>#REF!</v>
      </c>
      <c r="CD411" s="48" t="e">
        <f t="shared" si="1610"/>
        <v>#REF!</v>
      </c>
      <c r="CE411" s="48">
        <f t="shared" ref="CE411:CE420" si="1611">+IF(R411=0,,BN411/R411*1000)</f>
        <v>0</v>
      </c>
      <c r="CF411" s="48">
        <f t="shared" ref="CF411:CF438" si="1612">+IF(I411=0,,BR411/I411*1000)</f>
        <v>0</v>
      </c>
      <c r="CG411" s="48">
        <f t="shared" ref="CG411:CG438" si="1613">+IF(I411=0,,BV411/I411*1000)</f>
        <v>0</v>
      </c>
      <c r="CH411" s="48">
        <f t="shared" ref="CH411:CH438" si="1614">+IF(E411=0,,BL411/E411*1000*1.18)</f>
        <v>0</v>
      </c>
      <c r="CI411" s="48">
        <f t="shared" ref="CI411:CI438" si="1615">+IF(E411=0,,BP411/E411*1.18*1000)</f>
        <v>0</v>
      </c>
      <c r="CJ411" s="48">
        <f t="shared" ref="CJ411:CJ438" si="1616">+IF(E411=0,,BT411/E411*1.18*1000)</f>
        <v>0</v>
      </c>
      <c r="CK411" s="48">
        <f t="shared" ref="CK411:CK438" si="1617">+IF(D411=0,,BK411/D411*1000)</f>
        <v>0</v>
      </c>
      <c r="CL411" s="48"/>
      <c r="CM411" s="48"/>
      <c r="CN411" s="48">
        <f t="shared" si="1582"/>
        <v>0</v>
      </c>
      <c r="CO411" s="48">
        <f t="shared" ref="CO411:CO438" si="1618">+IF(R411=0,,BZ411/R411*1000)</f>
        <v>0</v>
      </c>
      <c r="CP411" s="48"/>
      <c r="CQ411" s="48">
        <f t="shared" ref="CQ411:CQ425" si="1619">+IF(N411=0,,BX411/N411*1.18*1000)</f>
        <v>0</v>
      </c>
      <c r="CR411" s="48">
        <f t="shared" ref="CR411:CR438" si="1620">+IF(N411=0,,CB411/N411*1.18*1000)</f>
        <v>0</v>
      </c>
      <c r="CS411" s="48">
        <f t="shared" ref="CS411:CS425" si="1621">+IF(M411=0,,BW411/M411*1000)</f>
        <v>0</v>
      </c>
      <c r="CT411" s="48"/>
      <c r="CU411" s="201"/>
      <c r="CV411" s="48">
        <f t="shared" ref="CV411:CV423" si="1622">+IF(CN411=0,,CU411/CN411*100)</f>
        <v>0</v>
      </c>
      <c r="CW411" s="46"/>
      <c r="CX411" s="46"/>
      <c r="CY411" s="39"/>
      <c r="CZ411" s="39"/>
      <c r="DA411" s="39"/>
      <c r="DB411" s="39"/>
      <c r="DC411" s="46"/>
      <c r="DD411" s="46"/>
      <c r="DE411" s="79">
        <f>+(O411+S411)*AC411/1000</f>
        <v>0</v>
      </c>
      <c r="DF411" s="79"/>
      <c r="DG411" s="46">
        <f>+AF411*(Q411+U411)/1000</f>
        <v>0</v>
      </c>
      <c r="DH411" s="46"/>
      <c r="DI411" s="39"/>
      <c r="DJ411" s="80">
        <f>+(F411+J411)*W411/1000</f>
        <v>0</v>
      </c>
      <c r="DK411" s="39">
        <f>+Y411*(G411+K411)/1000</f>
        <v>0</v>
      </c>
      <c r="DL411" s="39"/>
      <c r="DM411" s="48">
        <f>+AT411-'[2]тарифы (12-13) население 15%'!AP526</f>
        <v>0</v>
      </c>
      <c r="DN411" s="39"/>
      <c r="DO411" s="39"/>
      <c r="DP411" s="39"/>
      <c r="DQ411" s="39"/>
      <c r="DR411" s="39"/>
      <c r="DS411" s="39"/>
      <c r="DT411" s="39"/>
      <c r="DU411" s="39"/>
      <c r="DV411" s="39"/>
      <c r="DW411" s="40">
        <f>+((BD411*AZ411)+(BC411*AZ411))/2</f>
        <v>0</v>
      </c>
      <c r="DX411" s="46"/>
      <c r="DY411" s="21">
        <f t="shared" si="1491"/>
        <v>0</v>
      </c>
      <c r="DZ411" s="46"/>
      <c r="EA411" s="19">
        <f t="shared" si="1493"/>
        <v>0</v>
      </c>
      <c r="EB411" s="19"/>
      <c r="EC411" s="48">
        <f>+(BD411-BG411/1.18)*AZ411/1000</f>
        <v>0</v>
      </c>
      <c r="ED411" s="39"/>
      <c r="EE411" s="39"/>
      <c r="EF411" s="39"/>
      <c r="EG411" s="22">
        <f t="shared" si="1494"/>
        <v>0</v>
      </c>
      <c r="EH411" s="39"/>
      <c r="EI411" s="39"/>
      <c r="EJ411" s="22">
        <f t="shared" si="1495"/>
        <v>0</v>
      </c>
      <c r="EK411" s="40"/>
      <c r="EL411" s="19"/>
      <c r="EM411" s="19"/>
      <c r="EN411" s="40"/>
      <c r="EO411" s="40">
        <f t="shared" si="1604"/>
        <v>0</v>
      </c>
      <c r="EP411" s="40"/>
      <c r="EQ411" s="21">
        <f t="shared" ref="EQ411:EQ443" si="1623">+IF(EO411=0,,EN411/EO411*100)</f>
        <v>0</v>
      </c>
      <c r="ER411" s="21"/>
      <c r="ES411" s="21"/>
      <c r="ET411" s="21"/>
      <c r="EU411" s="21"/>
      <c r="EV411" s="21"/>
      <c r="EW411" s="39"/>
      <c r="EX411" s="39">
        <f>+BD411*AY411</f>
        <v>0</v>
      </c>
      <c r="EY411" s="39"/>
      <c r="EZ411" s="39"/>
      <c r="FA411" s="39"/>
      <c r="FB411" s="39"/>
      <c r="FC411" s="39"/>
      <c r="FD411" s="202" t="s">
        <v>526</v>
      </c>
      <c r="FE411" s="39"/>
      <c r="FF411" s="39"/>
      <c r="FG411" s="39"/>
      <c r="FH411" s="39"/>
      <c r="FI411" s="39"/>
      <c r="FJ411" s="19">
        <f t="shared" si="1606"/>
        <v>0</v>
      </c>
      <c r="FK411" s="19">
        <f t="shared" si="1607"/>
        <v>0</v>
      </c>
      <c r="FL411" s="19">
        <f t="shared" si="1601"/>
        <v>0</v>
      </c>
      <c r="FM411" s="19"/>
      <c r="FN411" s="19"/>
      <c r="FO411" s="39">
        <f t="shared" ref="FO411:FO443" si="1624">+EF411</f>
        <v>0</v>
      </c>
      <c r="FP411" s="39"/>
      <c r="FQ411" s="22"/>
      <c r="FR411" s="39">
        <f t="shared" ref="FR411:FR443" si="1625">+EI411</f>
        <v>0</v>
      </c>
      <c r="FS411" s="39"/>
      <c r="FT411" s="22">
        <f t="shared" ref="FT411:FT418" si="1626">+IF(FR411=0,,FS411/FR411*100)</f>
        <v>0</v>
      </c>
      <c r="FU411" s="40"/>
      <c r="FV411" s="19">
        <f t="shared" ref="FV411" si="1627">+(FO411-FR411/1.18)*FN411</f>
        <v>0</v>
      </c>
      <c r="FW411" s="19">
        <f t="shared" ref="FW411" si="1628">+(FP411-FS411/1.18)*FN411</f>
        <v>0</v>
      </c>
      <c r="FX411" s="19">
        <f t="shared" ref="FX411:FX425" si="1629">+(FW411/2)-FV411/2</f>
        <v>0</v>
      </c>
      <c r="FY411" s="19">
        <f t="shared" ref="FY411:FY442" si="1630">+(FR411*EM411)/1.18</f>
        <v>0</v>
      </c>
      <c r="FZ411" s="19">
        <f t="shared" ref="FZ411" si="1631">+FP411*EM411</f>
        <v>0</v>
      </c>
      <c r="GA411" s="39"/>
      <c r="GB411" s="39"/>
      <c r="GC411" s="20">
        <f t="shared" ref="GC411:GC427" si="1632">+IF(FZ411=0,,FY411/FZ411*100)</f>
        <v>0</v>
      </c>
      <c r="GD411" s="20">
        <f t="shared" ref="GD411:GD419" si="1633">+IF(GB411=0,,GA411/GB411*100)</f>
        <v>0</v>
      </c>
      <c r="GE411" s="21">
        <f t="shared" ref="GE411" si="1634">+FO411*FM411</f>
        <v>0</v>
      </c>
      <c r="GF411" s="21">
        <f t="shared" ref="GF411" si="1635">+FR411*FN411</f>
        <v>0</v>
      </c>
      <c r="GG411" s="21"/>
      <c r="GH411" s="21"/>
      <c r="GI411" s="21">
        <f t="shared" ref="GI411" si="1636">+FP411*FM411</f>
        <v>0</v>
      </c>
      <c r="GJ411" s="21">
        <f t="shared" ref="GJ411" si="1637">+FS411*FN411</f>
        <v>0</v>
      </c>
      <c r="GK411" s="21"/>
      <c r="GL411" s="21"/>
      <c r="GM411" s="19"/>
      <c r="GN411" s="19"/>
      <c r="GO411" s="39"/>
      <c r="GP411" s="39"/>
      <c r="GQ411" s="22"/>
      <c r="GR411" s="39"/>
      <c r="GS411" s="39"/>
      <c r="GT411" s="22"/>
      <c r="GU411" s="43"/>
      <c r="GV411" s="19"/>
      <c r="GW411" s="19"/>
      <c r="GX411" s="19">
        <f t="shared" ref="GX411" si="1638">+GS411/1.18*GN411</f>
        <v>0</v>
      </c>
      <c r="GY411" s="19">
        <f t="shared" ref="GY411" si="1639">+GP411*GN411</f>
        <v>0</v>
      </c>
      <c r="GZ411" s="23">
        <f t="shared" ref="GZ411:GZ420" si="1640">+IF(GY411=0,,GX411/GY411*100)</f>
        <v>0</v>
      </c>
      <c r="HA411" s="39"/>
      <c r="HB411" s="39"/>
      <c r="HC411" s="22"/>
      <c r="HD411" s="39"/>
      <c r="HE411" s="39"/>
      <c r="HF411" s="22"/>
      <c r="HG411" s="233"/>
    </row>
    <row r="412" spans="1:215" s="14" customFormat="1" ht="16.5" hidden="1" thickBot="1">
      <c r="A412" s="1"/>
      <c r="B412" s="7"/>
      <c r="C412" s="199" t="s">
        <v>148</v>
      </c>
      <c r="D412" s="203">
        <f t="shared" ref="D412:U412" si="1641">+D366+D350+D336+D315+D301+D274+D259+D249+D233+D211+D186+D140+D141+D128+D119+D103+D88+D78+D67+D42+D17+D9</f>
        <v>11161.880000000001</v>
      </c>
      <c r="E412" s="203">
        <f t="shared" si="1641"/>
        <v>6170.11</v>
      </c>
      <c r="F412" s="203">
        <f t="shared" si="1641"/>
        <v>3409.6027859999999</v>
      </c>
      <c r="G412" s="203">
        <f t="shared" si="1641"/>
        <v>919.96340099999998</v>
      </c>
      <c r="H412" s="203">
        <f t="shared" si="1641"/>
        <v>1840.543813</v>
      </c>
      <c r="I412" s="203">
        <f t="shared" si="1641"/>
        <v>4991.7700000000004</v>
      </c>
      <c r="J412" s="203">
        <f t="shared" si="1641"/>
        <v>2758.4521020000002</v>
      </c>
      <c r="K412" s="203">
        <f t="shared" si="1641"/>
        <v>744.27290700000003</v>
      </c>
      <c r="L412" s="203">
        <f t="shared" si="1641"/>
        <v>1489.044991</v>
      </c>
      <c r="M412" s="203">
        <f t="shared" si="1641"/>
        <v>14093.139544325784</v>
      </c>
      <c r="N412" s="204">
        <f t="shared" si="1641"/>
        <v>9461.6656552074419</v>
      </c>
      <c r="O412" s="203">
        <f t="shared" si="1641"/>
        <v>3951.4308328074408</v>
      </c>
      <c r="P412" s="203">
        <f t="shared" si="1641"/>
        <v>0</v>
      </c>
      <c r="Q412" s="203">
        <f t="shared" si="1641"/>
        <v>5510.2348224000007</v>
      </c>
      <c r="R412" s="203">
        <f t="shared" si="1641"/>
        <v>4631.4738891183424</v>
      </c>
      <c r="S412" s="203">
        <f t="shared" si="1641"/>
        <v>2984.8138891183421</v>
      </c>
      <c r="T412" s="203">
        <f t="shared" si="1641"/>
        <v>0</v>
      </c>
      <c r="U412" s="203">
        <f t="shared" si="1641"/>
        <v>1646.6599999999999</v>
      </c>
      <c r="V412" s="39"/>
      <c r="W412" s="39"/>
      <c r="X412" s="22">
        <f>+BK412/D412*1000</f>
        <v>3135.6699063077758</v>
      </c>
      <c r="Y412" s="39"/>
      <c r="Z412" s="79">
        <f>+BO412/D412*1000</f>
        <v>3320.6684072321991</v>
      </c>
      <c r="AA412" s="39"/>
      <c r="AB412" s="79">
        <f>+BS412/D412*1000</f>
        <v>3480.0586883088704</v>
      </c>
      <c r="AC412" s="19"/>
      <c r="AD412" s="19"/>
      <c r="AE412" s="50"/>
      <c r="AF412" s="19"/>
      <c r="AG412" s="19"/>
      <c r="AH412" s="39"/>
      <c r="AI412" s="39"/>
      <c r="AJ412" s="39"/>
      <c r="AK412" s="39"/>
      <c r="AL412" s="22"/>
      <c r="AM412" s="39"/>
      <c r="AN412" s="39"/>
      <c r="AO412" s="39"/>
      <c r="AP412" s="39"/>
      <c r="AQ412" s="39"/>
      <c r="AR412" s="39"/>
      <c r="AS412" s="50"/>
      <c r="AT412" s="39"/>
      <c r="AU412" s="39"/>
      <c r="AV412" s="77"/>
      <c r="AW412" s="77"/>
      <c r="AX412" s="78"/>
      <c r="AY412" s="171">
        <f>+AZ412+BA412+BB412</f>
        <v>1158.3616662257978</v>
      </c>
      <c r="AZ412" s="171">
        <f>+AZ366+AZ350+AZ336+AZ315+AZ301+AZ274+AZ259+AZ249+AZ233+AZ211+AZ186+AZ140+AZ141+AZ128+AZ119+AZ103+AZ88+AZ78+AZ67+AZ42+AZ17+AZ9</f>
        <v>819.61518475000003</v>
      </c>
      <c r="BA412" s="171">
        <f>+BA366+BA350+BA336+BA315+BA301+BA274+BA259+BA249+BA233+BA211+BA186+BA140+BA141+BA128+BA119+BA103+BA88+BA78+BA67+BA42+BA17+BA9</f>
        <v>239.33339807826641</v>
      </c>
      <c r="BB412" s="171">
        <f>+BB366+BB350+BB336+BB315+BB301+BB274+BB259+BB249+BB233+BB211+BB186+BB140+BB141+BB128+BB119+BB103+BB88+BB78+BB67+BB42+BB17+BB9-2.08</f>
        <v>99.413083397531523</v>
      </c>
      <c r="BC412" s="39"/>
      <c r="BD412" s="39"/>
      <c r="BE412" s="22"/>
      <c r="BF412" s="39"/>
      <c r="BG412" s="39"/>
      <c r="BH412" s="22"/>
      <c r="BI412" s="22"/>
      <c r="BJ412" s="40"/>
      <c r="BK412" s="74">
        <f t="shared" ref="BK412:BT412" si="1642">+BK366+BK350+BK336+BK315+BK301+BK274+BK259+BK249+BK233+BK211+BK186+BK140+BK141+BK128+BK119+BK103+BK88+BK78+BK67+BK42+BK17+BK9</f>
        <v>34999.971213818644</v>
      </c>
      <c r="BL412" s="74">
        <f t="shared" si="1642"/>
        <v>9751.1790971186419</v>
      </c>
      <c r="BM412" s="74">
        <f t="shared" si="1642"/>
        <v>9596.2486807999994</v>
      </c>
      <c r="BN412" s="74">
        <f t="shared" si="1642"/>
        <v>15652.543435900001</v>
      </c>
      <c r="BO412" s="74">
        <f t="shared" si="1642"/>
        <v>37064.902281316943</v>
      </c>
      <c r="BP412" s="74">
        <f t="shared" si="1642"/>
        <v>10326.463421016948</v>
      </c>
      <c r="BQ412" s="74">
        <f t="shared" si="1642"/>
        <v>10162.417974399999</v>
      </c>
      <c r="BR412" s="74">
        <f t="shared" si="1642"/>
        <v>16576.020885900001</v>
      </c>
      <c r="BS412" s="74">
        <f t="shared" si="1642"/>
        <v>38843.997471861017</v>
      </c>
      <c r="BT412" s="74">
        <f t="shared" si="1642"/>
        <v>10822.111494661018</v>
      </c>
      <c r="BU412" s="74"/>
      <c r="BV412" s="74">
        <f t="shared" ref="BV412:CD412" si="1643">+BV366+BV350+BV336+BV315+BV301+BV274+BV259+BV249+BV233+BV211+BV186+BV140+BV141+BV128+BV119+BV103+BV88+BV78+BV67+BV42+BV17+BV9</f>
        <v>17371.659106200001</v>
      </c>
      <c r="BW412" s="74">
        <f t="shared" si="1643"/>
        <v>17781.302937370827</v>
      </c>
      <c r="BX412" s="74">
        <f t="shared" si="1643"/>
        <v>8297.680320598809</v>
      </c>
      <c r="BY412" s="74">
        <f t="shared" si="1643"/>
        <v>3640.0920108714072</v>
      </c>
      <c r="BZ412" s="74">
        <f t="shared" si="1643"/>
        <v>5843.5306059006125</v>
      </c>
      <c r="CA412" s="74">
        <f t="shared" si="1643"/>
        <v>35562.623515135252</v>
      </c>
      <c r="CB412" s="74">
        <f t="shared" si="1643"/>
        <v>18537.006690696333</v>
      </c>
      <c r="CC412" s="74">
        <f t="shared" si="1643"/>
        <v>5338.555612637695</v>
      </c>
      <c r="CD412" s="74">
        <f t="shared" si="1643"/>
        <v>11687.061211801225</v>
      </c>
      <c r="CE412" s="48">
        <f>+IF(R412=0,,BN412/R412*1000)</f>
        <v>3379.6030833026357</v>
      </c>
      <c r="CF412" s="48">
        <f t="shared" si="1612"/>
        <v>3320.6699999999996</v>
      </c>
      <c r="CG412" s="48">
        <f t="shared" si="1613"/>
        <v>3480.06</v>
      </c>
      <c r="CH412" s="48">
        <f t="shared" si="1614"/>
        <v>1864.8599999999994</v>
      </c>
      <c r="CI412" s="48">
        <f t="shared" si="1615"/>
        <v>1974.8799999999997</v>
      </c>
      <c r="CJ412" s="48">
        <f t="shared" si="1616"/>
        <v>2069.6700000000005</v>
      </c>
      <c r="CK412" s="48">
        <f t="shared" si="1617"/>
        <v>3135.6699063077758</v>
      </c>
      <c r="CL412" s="48">
        <f t="shared" ref="CL412:CL438" si="1644">+IF(D412=0,,BO412/D412*1000)</f>
        <v>3320.6684072321991</v>
      </c>
      <c r="CM412" s="48">
        <f t="shared" ref="CM412:CM438" si="1645">+IF(D412=0,,BS412/D412*1000)</f>
        <v>3480.0586883088704</v>
      </c>
      <c r="CN412" s="48">
        <f t="shared" si="1582"/>
        <v>3312.1323339496157</v>
      </c>
      <c r="CO412" s="48">
        <f t="shared" si="1618"/>
        <v>1261.7</v>
      </c>
      <c r="CP412" s="48">
        <f t="shared" ref="CP412:CP425" si="1646">+IF(R412=0,,CD412/R412*1000)</f>
        <v>2523.4</v>
      </c>
      <c r="CQ412" s="48">
        <f t="shared" si="1619"/>
        <v>1034.8350000000003</v>
      </c>
      <c r="CR412" s="48">
        <f>+IF(N412=0,,CB412/N412*1.18*1000)</f>
        <v>2311.8200000000006</v>
      </c>
      <c r="CS412" s="48">
        <f t="shared" si="1621"/>
        <v>1261.6992034631473</v>
      </c>
      <c r="CT412" s="48">
        <f t="shared" ref="CT412:CT425" si="1647">+IF(M412=0,,CA412/M412*1000)</f>
        <v>2523.3996586270637</v>
      </c>
      <c r="CU412" s="48">
        <f t="shared" ref="CU412:CU425" si="1648">+IF((M412+M412)=0,,(CA412+BW412)/(M412+M412))*1000</f>
        <v>1892.5494310451054</v>
      </c>
      <c r="CV412" s="48">
        <f t="shared" si="1622"/>
        <v>57.139909889660068</v>
      </c>
      <c r="CW412" s="74">
        <f>+CW366+CW350+CW336+CW315+CW301+CW274+CW259+CW249+CW233+CW211+CW186+CW140+CW141+CW128+CW119+CW103+CW88+CW78+CW67+CW42+CW17+CW9</f>
        <v>10156.413123998773</v>
      </c>
      <c r="CX412" s="74">
        <f>+CX366+CX350+CX336+CX315+CX301+CX274+CX259+CX249+CX233+CX211+CX186+CX140+CX141+CX128+CX119+CX103+CX88+CX78+CX67+CX42+CX17+CX9</f>
        <v>20151.486936644069</v>
      </c>
      <c r="CY412" s="74">
        <f>+CY366+CY350+CY336+CY315+CY301+CY274+CY259+CY249+CY233+CY211+CY186+CY140+CY141+CY128+CY119+CY103+CY88+CY78+CY67+CY42+CY17+CY9</f>
        <v>10795.483955187094</v>
      </c>
      <c r="CZ412" s="74">
        <f>+CZ366+CZ350+CZ336+CZ315+CZ301+CZ274+CZ259+CZ249+CZ233+CZ211+CZ186+CZ140+CZ141+CZ128+CZ119+CZ103+CZ88+CZ78+CZ67+CZ42+CZ17+CZ9</f>
        <v>13904.526550844163</v>
      </c>
      <c r="DA412" s="20">
        <f>+IF(CX412=0,,CW412/CX412*100)</f>
        <v>50.40031614505849</v>
      </c>
      <c r="DB412" s="20">
        <f t="shared" ref="DB412:DB438" si="1649">+IF(CZ412=0,,CY412/CZ412*100)</f>
        <v>77.640068618745488</v>
      </c>
      <c r="DC412" s="51">
        <f t="shared" ref="DC412:DD431" si="1650">+IF(CW412=0,,CY412/CW412*100)</f>
        <v>106.29228865925361</v>
      </c>
      <c r="DD412" s="51">
        <f t="shared" si="1650"/>
        <v>69.000002801578646</v>
      </c>
      <c r="DE412" s="74">
        <f>+DE366+DE350+DE336+DE315+DE301+DE274+DE259+DE249+DE233+DE211+DE186+DE140+DE141+DE128+DE119+DE103+DE88+DE78+DE67+DE42+DE17+DE9</f>
        <v>0</v>
      </c>
      <c r="DF412" s="74">
        <f>+DF366+DF350+DF336+DF315+DF301+DF274+DF259+DF249+DF233+DF211+DF186+DF140+DF141+DF128+DF119+DF103+DF88+DF78+DF67+DF42+DF17+DF9</f>
        <v>0</v>
      </c>
      <c r="DG412" s="74">
        <f>+DG366+DG350+DG336+DG315+DG301+DG274+DG259+DG249+DG233+DG211+DG186+DG140+DG141+DG128+DG119+DG103+DG88+DG78+DG67+DG42+DG17+DG9</f>
        <v>18059.708394844165</v>
      </c>
      <c r="DH412" s="74">
        <f>+DH366+DH350+DH336+DH315+DH301+DH274+DH259+DH249+DH233+DH211+DH186+DH140+DH141+DH128+DH119+DH103+DH88+DH78+DH67+DH42+DH17+DH9</f>
        <v>18059.708394844165</v>
      </c>
      <c r="DI412" s="39"/>
      <c r="DJ412" s="74" t="e">
        <f>+DJ415+DJ416+#REF!+#REF!+#REF!+#REF!+DJ417</f>
        <v>#REF!</v>
      </c>
      <c r="DK412" s="74" t="e">
        <f>+DK415+DK416+#REF!+#REF!+#REF!+#REF!+DK417</f>
        <v>#REF!</v>
      </c>
      <c r="DL412" s="74" t="e">
        <f>+DL415+DL416+#REF!+#REF!+#REF!+#REF!+DL417</f>
        <v>#REF!</v>
      </c>
      <c r="DM412" s="48">
        <f>+AT412-'[2]тарифы (12-13) население 15%'!AP527</f>
        <v>0</v>
      </c>
      <c r="DN412" s="39"/>
      <c r="DO412" s="39"/>
      <c r="DP412" s="39"/>
      <c r="DQ412" s="39"/>
      <c r="DR412" s="39"/>
      <c r="DS412" s="39"/>
      <c r="DT412" s="39"/>
      <c r="DU412" s="171">
        <f>+DU366+DU350+DU336+DU315+DU301+DU274+DU259+DU249+DU233+DU211+DU186+DU140+DU141+DU128+DU119+DU103+DU88+DU78+DU67+DU42+DU17+DU9</f>
        <v>1054411.3935699575</v>
      </c>
      <c r="DV412" s="171">
        <f>+DV366+DV350+DV336+DV315+DV301+DV274+DV259+DV249+DV233+DV211+DV186+DV140+DV141+DV128+DV119+DV103+DV88+DV78+DV67+DV42+DV17+DV9</f>
        <v>1098693.9023788238</v>
      </c>
      <c r="DW412" s="171">
        <f>+DW366+DW350+DW336+DW315+DW301+DW274+DW259+DW249+DW233+DW211+DW186+DW140+DW141+DW128+DW119+DW103+DW88+DW78+DW67+DW42+DW17+DW9</f>
        <v>2155079.7744779554</v>
      </c>
      <c r="DX412" s="21">
        <f>+'[1]тарифы (НВВ) население на 4,2%'!CO546</f>
        <v>57.185352032936244</v>
      </c>
      <c r="DY412" s="21">
        <f>+IF(DW412=0,,DV412/DW412*100)</f>
        <v>50.981588495719166</v>
      </c>
      <c r="DZ412" s="79">
        <f>+DZ366+DZ350+DZ336+DZ315+DZ301+DZ274+DZ259+DZ249+DZ233+DZ211+DZ186+DZ140+DZ141+DZ128+DZ119+DZ103+DZ88+DZ78+DZ67+DZ42+DZ17+DZ9</f>
        <v>2928.2585005541787</v>
      </c>
      <c r="EA412" s="79">
        <f>+EA366+EA350+EA336+EA315+EA301+EA274+EA259+EA249+EA233+EA211+EA186+EA140+EA141+EA128+EA119+EA103+EA88+EA78+EA67+EA42+EA17+EA9-5.5</f>
        <v>3045.7421083407894</v>
      </c>
      <c r="EB412" s="79"/>
      <c r="EC412" s="171">
        <f>+EC366+EC350+EC336+EC315+EC301+EC274+EC259+EC249+EC233+EC211+EC186+EC140+EC141+EC128+EC119+EC103+EC88+EC78+EC67+EC42+EC17+EC9</f>
        <v>1013805.5636281928</v>
      </c>
      <c r="ED412" s="171">
        <f>+ED366+ED350+ED336+ED315+ED301+ED274+ED259+ED249+ED233+ED211+ED186+ED140+ED141+ED128+ED119+ED103+ED88+ED78+ED67+ED42+ED17+ED9</f>
        <v>1056385.8720991313</v>
      </c>
      <c r="EE412" s="39"/>
      <c r="EF412" s="39"/>
      <c r="EG412" s="22">
        <f t="shared" si="1494"/>
        <v>0</v>
      </c>
      <c r="EH412" s="39"/>
      <c r="EI412" s="39"/>
      <c r="EJ412" s="22">
        <f t="shared" si="1495"/>
        <v>0</v>
      </c>
      <c r="EK412" s="40"/>
      <c r="EL412" s="19">
        <f>+EL366+EL350+EL336+EL315+EL301+EL274+EL259+EL249+EL233+EL211+EL186+EL140+EL141+EL128+EL119+EL103+EL88+EL78+EL67+EL42+EL17+EL9</f>
        <v>1106.5310999999999</v>
      </c>
      <c r="EM412" s="19">
        <f>+EM366+EM350+EM336+EM315+EM301+EM274+EM259+EM249+EM233+EM211+EM186+EM140+EM141+EM128+EM119+EM103+EM88+EM78+EM67+EM42+EM17+EM9</f>
        <v>783.85575999999992</v>
      </c>
      <c r="EN412" s="21">
        <f>+EN366+EN350+EN336+EN315+EN301+EN274+EN259+EN249+EN233+EN211+EN186+EN140+EN141+EN128+EN119+EN103+EN88+EN78+EN67+EN42+EN17+EN9</f>
        <v>1130266.6931004238</v>
      </c>
      <c r="EO412" s="21">
        <f>+EO366+EO350+EO336+EO315+EO301+EO274+EO259+EO249+EO233+EO211+EO186+EO140+EO141+EO128+EO119+EO103+EO88+EO78+EO67+EO42+EO17+EO9</f>
        <v>2205323.3108567996</v>
      </c>
      <c r="EP412" s="21"/>
      <c r="EQ412" s="21">
        <f t="shared" si="1623"/>
        <v>51.251745607373053</v>
      </c>
      <c r="ER412" s="21"/>
      <c r="ES412" s="21">
        <f>+ES366+ES350+ES336+ES315+ES301+ES274+ES259+ES249+ES233+ES211+ES186+ES140+ES141+ES128+ES119+ES103+ES88+ES78+ES67+ES42+ES17+ES9</f>
        <v>2909490.7437180001</v>
      </c>
      <c r="ET412" s="19">
        <f>+ES412/EL412</f>
        <v>2629.38</v>
      </c>
      <c r="EU412" s="19">
        <f>+EU366+EU350+EU336+EU315+EU301+EU274+EU259+EU249+EU233+EU211+EU186+EU140+EU141+EU128+EU119+EU103+EU88+EU78+EU67+EU42+EU17+EU9</f>
        <v>3113147.7926730006</v>
      </c>
      <c r="EV412" s="19">
        <f>+EU412/EL412</f>
        <v>2813.4300000000007</v>
      </c>
      <c r="EW412" s="39"/>
      <c r="EX412" s="39">
        <f>+EX366+EX350+EX336+EX315+EX301+EX274+EX259+EX249+EX233+EX211+EX186+EX140+EX141+EX128+EX119+EX103+EX88+EX78+EX67+EX42+EX17+EX9</f>
        <v>3051242.1083407886</v>
      </c>
      <c r="EY412" s="39">
        <f>+EY366+EY350+EY336+EY315+EY301+EY274+EY259+EY249+EY233+EY211+EY186+EY140+EY141+EY128+EY119+EY103+EY88+EY78+EY67+EY42+EY17+EY9</f>
        <v>3264821.397009647</v>
      </c>
      <c r="EZ412" s="39"/>
      <c r="FA412" s="39">
        <f>+EY412/EX412</f>
        <v>1.0699974899025626</v>
      </c>
      <c r="FB412" s="39">
        <f>+EX412/AY412</f>
        <v>2634.1014186721322</v>
      </c>
      <c r="FC412" s="39">
        <f>+EY412/AY412</f>
        <v>2818.4819061279604</v>
      </c>
      <c r="FD412" s="39"/>
      <c r="FE412" s="39"/>
      <c r="FF412" s="39"/>
      <c r="FG412" s="39"/>
      <c r="FH412" s="39"/>
      <c r="FI412" s="39"/>
      <c r="FJ412" s="79">
        <f>+FJ366+FJ350+FJ336+FJ315+FJ301+FJ274+FJ259+FJ249+FJ233+FJ211+FJ186+FJ140+FJ141+FJ128+FJ119+FJ103+FJ88+FJ78+FJ67+FJ42+FJ17+FJ9</f>
        <v>1016464.6662817661</v>
      </c>
      <c r="FK412" s="79">
        <f>+FK366+FK350+FK336+FK315+FK301+FK274+FK259+FK249+FK233+FK211+FK186+FK140+FK141+FK128+FK119+FK103+FK88+FK78+FK67+FK42+FK17+FK9</f>
        <v>1075056.617756376</v>
      </c>
      <c r="FL412" s="79">
        <f>+FL366+FL350+FL336+FL315+FL301+FL274+FL259+FL249+FL233+FL211+FL186+FL140+FL141+FL128+FL119+FL103+FL88+FL78+FL67+FL42+FL17+FL9</f>
        <v>2091521.2840381421</v>
      </c>
      <c r="FM412" s="19" t="e">
        <f>+FM9+FM17+FM42+FM67+FM78+FM88+FM89+FM103+FM119+FM128+FM140+FM141+FM186+FM187+FM211+FM233+FM249+FM259+FM274+FM301+FM315+FM336+FM350+FM351+#REF!+FM366</f>
        <v>#REF!</v>
      </c>
      <c r="FN412" s="19" t="e">
        <f>+FN9+FN17+FN42+FN67+FN78+FN88+FN89+FN103+FN119+FN128+FN140+FN141+FN186+FN187+FN211+FN233+FN249+FN259+FN274+FN301+FN315+FN336+FN350+FN351+#REF!+FN366</f>
        <v>#REF!</v>
      </c>
      <c r="FO412" s="39">
        <f t="shared" si="1624"/>
        <v>0</v>
      </c>
      <c r="FP412" s="39"/>
      <c r="FQ412" s="22"/>
      <c r="FR412" s="39">
        <f t="shared" si="1625"/>
        <v>0</v>
      </c>
      <c r="FS412" s="39"/>
      <c r="FT412" s="22">
        <f t="shared" si="1626"/>
        <v>0</v>
      </c>
      <c r="FU412" s="40"/>
      <c r="FV412" s="79" t="e">
        <f>+FV9+FV17+FV42+FV67+FV78+FV88+FV89+FV103+FV119+FV128+FV140+FV141+FV186+FV187+FV211+FV233+FV249+FV259+FV274+FV301+FV315+FV336+FV350+FV351+#REF!+FV366</f>
        <v>#REF!</v>
      </c>
      <c r="FW412" s="79" t="e">
        <f>+FW9+FW17+FW42+FW67+FW78+FW88+FW89+FW103+FW119+FW128+FW140+FW141+FW186+FW187+FW211+FW233+FW249+FW259+FW274+FW301+FW315+FW336+FW350+FW351+#REF!+FW366</f>
        <v>#REF!</v>
      </c>
      <c r="FX412" s="19" t="e">
        <f t="shared" si="1629"/>
        <v>#REF!</v>
      </c>
      <c r="FY412" s="19" t="e">
        <f>+FY9+FY17+FY42+FY67+FY78+FY88+FY89+FY103+FY119+FY128+FY140+FY141+FY186+FY187+FY211+FY233+FY249+FY259+FY274+FY301+FY315+FY336+FY350+FY351+#REF!+FY366</f>
        <v>#REF!</v>
      </c>
      <c r="FZ412" s="19" t="e">
        <f>+FZ9+FZ17+FZ42+FZ67+FZ78+FZ88+FZ89+FZ103+FZ119+FZ128+FZ140+FZ141+FZ186+FZ187+FZ211+FZ233+FZ249+FZ259+FZ274+FZ301+FZ315+FZ336+FZ350+FZ351+#REF!+FZ366</f>
        <v>#REF!</v>
      </c>
      <c r="GA412" s="19" t="e">
        <f>+GA9+GA17+GA42+GA67+GA78+GA88+GA89+GA103+GA119+GA128+GA140+GA141+GA186+GA187+GA211+GA233+GA249+GA259+GA274+GA301+GA315+GA336+GA350+GA351+#REF!+GA366</f>
        <v>#REF!</v>
      </c>
      <c r="GB412" s="19" t="e">
        <f>+GB9+GB17+GB42+GB67+GB78+GB88+GB89+GB103+GB119+GB128+GB140+GB141+GB186+GB187+GB211+GB233+GB249+GB259+GB274+GB301+GB315+GB336+GB350+GB351+#REF!+GB366</f>
        <v>#REF!</v>
      </c>
      <c r="GC412" s="20" t="e">
        <f>+IF(FZ412=0,,FY412/FZ412*100)</f>
        <v>#REF!</v>
      </c>
      <c r="GD412" s="20" t="e">
        <f t="shared" si="1633"/>
        <v>#REF!</v>
      </c>
      <c r="GE412" s="21" t="e">
        <f>+GE9+GE17+GE42+GE67+GE78+GE88+GE89+GE103+GE119+GE128+GE140+GE141+GE186+GE187+GE211+GE233+GE249+GE259+GE274+GE301+GE315+GE336+GE350+GE351+#REF!+GE366</f>
        <v>#REF!</v>
      </c>
      <c r="GF412" s="21" t="e">
        <f>+GF9+GF17+GF42+GF67+GF78+GF88+GF89+GF103+GF119+GF128+GF140+GF141+GF186+GF187+GF211+GF233+GF249+GF259+GF274+GF301+GF315+GF336+GF350+GF351+#REF!+GF366</f>
        <v>#REF!</v>
      </c>
      <c r="GG412" s="48" t="e">
        <f>+GE412/FM412</f>
        <v>#REF!</v>
      </c>
      <c r="GH412" s="48" t="e">
        <f>+GF412/FN412</f>
        <v>#REF!</v>
      </c>
      <c r="GI412" s="21" t="e">
        <f>+GI9+GI17+GI42+GI67+GI78+GI88+GI89+GI103+GI119+GI128+GI140+GI141+GI186+GI187+GI211+GI233+GI249+GI259+GI274+GI301+GI315+GI336+GI350+GI351+#REF!+GI366</f>
        <v>#REF!</v>
      </c>
      <c r="GJ412" s="21" t="e">
        <f>+GJ9+GJ17+GJ42+GJ67+GJ78+GJ88+GJ89+GJ103+GJ119+GJ128+GJ140+GJ141+GJ186+GJ187+GJ211+GJ233+GJ249+GJ259+GJ274+GJ301+GJ315+GJ336+GJ350+GJ351+#REF!+GJ366</f>
        <v>#REF!</v>
      </c>
      <c r="GK412" s="48" t="e">
        <f>+GI412/FM412</f>
        <v>#REF!</v>
      </c>
      <c r="GL412" s="48" t="e">
        <f>+GJ412/FN412</f>
        <v>#REF!</v>
      </c>
      <c r="GM412" s="19" t="e">
        <f>+GM9+GM17+GM42+GM67+GM78+GM88+GM89+GM103+GM119+GM128+GM140+GM141+GM186+GM187+GM211+GM233+GM249+GM259+GM274+GM301+GM315+GM336+GM350+GM351+#REF!+GM366</f>
        <v>#REF!</v>
      </c>
      <c r="GN412" s="19" t="e">
        <f>+GN9+GN17+GN42+GN67+GN78+GN88+GN89+GN103+GN119+GN128+GN140+GN141+GN186+GN187+GN211+GN233+GN249+GN259+GN274+GN301+GN315+GN336+GN350+GN351+#REF!+GN366</f>
        <v>#REF!</v>
      </c>
      <c r="GO412" s="163"/>
      <c r="GP412" s="39"/>
      <c r="GQ412" s="22"/>
      <c r="GR412" s="39"/>
      <c r="GS412" s="39"/>
      <c r="GT412" s="22"/>
      <c r="GU412" s="43"/>
      <c r="GV412" s="79" t="e">
        <f>+GV9+GV17+GV42+GV67+GV78+GV88+GV89+GV103+GV119+GV128+GV140+GV141+GV186+GV187+GV211+GV233+GV249+GV259+GV274+GV301+GV315+GV336+GV350+GV351+#REF!+GV366</f>
        <v>#REF!</v>
      </c>
      <c r="GW412" s="79" t="e">
        <f>+GW9+GW17+GW42+GW67+GW78+GW88+GW89+GW103+GW119+GW128+GW140+GW141+GW186+GW187+GW211+GW233+GW249+GW259+GW274+GW301+GW315+GW336+GW350+GW351+#REF!+GW366</f>
        <v>#REF!</v>
      </c>
      <c r="GX412" s="79" t="e">
        <f>+GX9+GX17+GX42+GX67+GX78+GX88+GX89+GX103+GX119+GX128+GX140+GX141+GX186+GX187+GX211+GX233+GX249+GX259+GX274+GX301+GX315+GX336+GX350+GX351+#REF!+GX366</f>
        <v>#REF!</v>
      </c>
      <c r="GY412" s="79" t="e">
        <f>+GY9+GY17+GY42+GY67+GY78+GY88+GY89+GY103+GY119+GY128+GY140+GY141+GY186+GY187+GY211+GY233+GY249+GY259+GY274+GY301+GY315+GY336+GY350+GY351+#REF!+GY366</f>
        <v>#REF!</v>
      </c>
      <c r="GZ412" s="21" t="e">
        <f t="shared" si="1640"/>
        <v>#REF!</v>
      </c>
      <c r="HA412" s="164"/>
      <c r="HB412" s="39"/>
      <c r="HC412" s="22"/>
      <c r="HD412" s="39"/>
      <c r="HE412" s="39"/>
      <c r="HF412" s="22">
        <f t="shared" ref="HF412:HF418" si="1651">+IF(HD412=0,,HE412/HD412*100)</f>
        <v>0</v>
      </c>
      <c r="HG412" s="233"/>
    </row>
    <row r="413" spans="1:215" s="14" customFormat="1" ht="16.5" hidden="1" thickBot="1">
      <c r="A413" s="1"/>
      <c r="B413" s="7"/>
      <c r="C413" s="199" t="s">
        <v>148</v>
      </c>
      <c r="D413" s="203"/>
      <c r="E413" s="203"/>
      <c r="F413" s="203"/>
      <c r="G413" s="203"/>
      <c r="H413" s="203"/>
      <c r="I413" s="203"/>
      <c r="J413" s="203"/>
      <c r="K413" s="203"/>
      <c r="L413" s="203"/>
      <c r="M413" s="203"/>
      <c r="N413" s="204"/>
      <c r="O413" s="203"/>
      <c r="P413" s="203"/>
      <c r="Q413" s="203"/>
      <c r="R413" s="203"/>
      <c r="S413" s="203"/>
      <c r="T413" s="203"/>
      <c r="U413" s="203"/>
      <c r="V413" s="39"/>
      <c r="W413" s="39"/>
      <c r="X413" s="22"/>
      <c r="Y413" s="39"/>
      <c r="Z413" s="79"/>
      <c r="AA413" s="39"/>
      <c r="AB413" s="79"/>
      <c r="AC413" s="19"/>
      <c r="AD413" s="19"/>
      <c r="AE413" s="50"/>
      <c r="AF413" s="19"/>
      <c r="AG413" s="19"/>
      <c r="AH413" s="39"/>
      <c r="AI413" s="39"/>
      <c r="AJ413" s="39"/>
      <c r="AK413" s="39"/>
      <c r="AL413" s="22"/>
      <c r="AM413" s="39"/>
      <c r="AN413" s="39"/>
      <c r="AO413" s="39"/>
      <c r="AP413" s="39"/>
      <c r="AQ413" s="39"/>
      <c r="AR413" s="39"/>
      <c r="AS413" s="50"/>
      <c r="AT413" s="39"/>
      <c r="AU413" s="39"/>
      <c r="AV413" s="77"/>
      <c r="AW413" s="77"/>
      <c r="AX413" s="78"/>
      <c r="AY413" s="171"/>
      <c r="AZ413" s="171"/>
      <c r="BA413" s="171"/>
      <c r="BB413" s="171"/>
      <c r="BC413" s="39"/>
      <c r="BD413" s="39"/>
      <c r="BE413" s="22"/>
      <c r="BF413" s="39"/>
      <c r="BG413" s="39"/>
      <c r="BH413" s="22"/>
      <c r="BI413" s="22"/>
      <c r="BJ413" s="40"/>
      <c r="BK413" s="74"/>
      <c r="BL413" s="74"/>
      <c r="BM413" s="74"/>
      <c r="BN413" s="74"/>
      <c r="BO413" s="74"/>
      <c r="BP413" s="74"/>
      <c r="BQ413" s="74"/>
      <c r="BR413" s="74"/>
      <c r="BS413" s="74"/>
      <c r="BT413" s="74"/>
      <c r="BU413" s="74"/>
      <c r="BV413" s="74"/>
      <c r="BW413" s="74"/>
      <c r="BX413" s="74"/>
      <c r="BY413" s="74"/>
      <c r="BZ413" s="74"/>
      <c r="CA413" s="74"/>
      <c r="CB413" s="74"/>
      <c r="CC413" s="74"/>
      <c r="CD413" s="74"/>
      <c r="CE413" s="48"/>
      <c r="CF413" s="48"/>
      <c r="CG413" s="48"/>
      <c r="CH413" s="48"/>
      <c r="CI413" s="48"/>
      <c r="CJ413" s="48"/>
      <c r="CK413" s="48"/>
      <c r="CL413" s="48"/>
      <c r="CM413" s="48"/>
      <c r="CN413" s="48"/>
      <c r="CO413" s="48"/>
      <c r="CP413" s="48"/>
      <c r="CQ413" s="48"/>
      <c r="CR413" s="48"/>
      <c r="CS413" s="48"/>
      <c r="CT413" s="48"/>
      <c r="CU413" s="48"/>
      <c r="CV413" s="48"/>
      <c r="CW413" s="74"/>
      <c r="CX413" s="74"/>
      <c r="CY413" s="74"/>
      <c r="CZ413" s="74"/>
      <c r="DA413" s="20"/>
      <c r="DB413" s="20"/>
      <c r="DC413" s="51"/>
      <c r="DD413" s="51"/>
      <c r="DE413" s="74"/>
      <c r="DF413" s="74"/>
      <c r="DG413" s="74"/>
      <c r="DH413" s="74"/>
      <c r="DI413" s="39"/>
      <c r="DJ413" s="74"/>
      <c r="DK413" s="74"/>
      <c r="DL413" s="74"/>
      <c r="DM413" s="48"/>
      <c r="DN413" s="39"/>
      <c r="DO413" s="39"/>
      <c r="DP413" s="39"/>
      <c r="DQ413" s="39"/>
      <c r="DR413" s="39"/>
      <c r="DS413" s="39"/>
      <c r="DT413" s="39"/>
      <c r="DU413" s="171"/>
      <c r="DV413" s="171"/>
      <c r="DW413" s="171"/>
      <c r="DX413" s="21"/>
      <c r="DY413" s="21"/>
      <c r="DZ413" s="79"/>
      <c r="EA413" s="79"/>
      <c r="EB413" s="79"/>
      <c r="EC413" s="171"/>
      <c r="ED413" s="171"/>
      <c r="EE413" s="39"/>
      <c r="EF413" s="39"/>
      <c r="EG413" s="22"/>
      <c r="EH413" s="39"/>
      <c r="EI413" s="39"/>
      <c r="EJ413" s="22"/>
      <c r="EK413" s="40"/>
      <c r="EL413" s="19"/>
      <c r="EM413" s="19"/>
      <c r="EN413" s="21"/>
      <c r="EO413" s="21"/>
      <c r="EP413" s="21"/>
      <c r="EQ413" s="21"/>
      <c r="ER413" s="21"/>
      <c r="ES413" s="21"/>
      <c r="ET413" s="19"/>
      <c r="EU413" s="19"/>
      <c r="EV413" s="19"/>
      <c r="EW413" s="39"/>
      <c r="EX413" s="39"/>
      <c r="EY413" s="39"/>
      <c r="EZ413" s="39"/>
      <c r="FA413" s="39"/>
      <c r="FB413" s="39"/>
      <c r="FC413" s="39"/>
      <c r="FD413" s="39"/>
      <c r="FE413" s="39"/>
      <c r="FF413" s="39"/>
      <c r="FG413" s="39"/>
      <c r="FH413" s="39"/>
      <c r="FI413" s="39"/>
      <c r="FJ413" s="79"/>
      <c r="FK413" s="79"/>
      <c r="FL413" s="79"/>
      <c r="FM413" s="19">
        <f>+FM18+FM104+FM142+FM337</f>
        <v>13.32799</v>
      </c>
      <c r="FN413" s="19">
        <f>+FN18+FN104+FN142+FN337</f>
        <v>7.8117000000000001</v>
      </c>
      <c r="FO413" s="39"/>
      <c r="FP413" s="39"/>
      <c r="FQ413" s="22"/>
      <c r="FR413" s="39"/>
      <c r="FS413" s="39"/>
      <c r="FT413" s="22"/>
      <c r="FU413" s="40"/>
      <c r="FV413" s="79">
        <f>+FV18+FV104+FV142+FV337</f>
        <v>0</v>
      </c>
      <c r="FW413" s="79">
        <f>+FW18+FW104+FW142+FW337</f>
        <v>0</v>
      </c>
      <c r="FX413" s="19">
        <f t="shared" si="1629"/>
        <v>0</v>
      </c>
      <c r="FY413" s="19">
        <f>+FY18+FY104+FY142+FY337</f>
        <v>0</v>
      </c>
      <c r="FZ413" s="19">
        <f>+FZ18+FZ104+FZ142+FZ337</f>
        <v>0</v>
      </c>
      <c r="GA413" s="19">
        <f>+GA18+GA104+GA142+GA337</f>
        <v>0</v>
      </c>
      <c r="GB413" s="19">
        <f>+GB18+GB104+GB142+GB337</f>
        <v>0</v>
      </c>
      <c r="GC413" s="20">
        <f t="shared" ref="GC413:GC415" si="1652">+IF(FZ413=0,,FY413/FZ413*100)</f>
        <v>0</v>
      </c>
      <c r="GD413" s="20">
        <f t="shared" si="1633"/>
        <v>0</v>
      </c>
      <c r="GE413" s="21">
        <f>+GE18+GE104+GE142+GE337</f>
        <v>0</v>
      </c>
      <c r="GF413" s="21">
        <f>+GF18+GF104+GF142+GF337</f>
        <v>0</v>
      </c>
      <c r="GG413" s="48">
        <f t="shared" ref="GG413:GH425" si="1653">+GE413/FM413</f>
        <v>0</v>
      </c>
      <c r="GH413" s="48">
        <f t="shared" si="1653"/>
        <v>0</v>
      </c>
      <c r="GI413" s="21">
        <f>+GI18+GI104+GI142+GI337</f>
        <v>0</v>
      </c>
      <c r="GJ413" s="21">
        <f>+GJ18+GJ104+GJ142+GJ337</f>
        <v>0</v>
      </c>
      <c r="GK413" s="48">
        <f t="shared" ref="GK413:GL425" si="1654">+GI413/FM413</f>
        <v>0</v>
      </c>
      <c r="GL413" s="48">
        <f t="shared" si="1654"/>
        <v>0</v>
      </c>
      <c r="GM413" s="19">
        <f>+GM18+GM104+GM142+GM337</f>
        <v>0</v>
      </c>
      <c r="GN413" s="19">
        <f>+GN18+GN104+GN142+GN337</f>
        <v>0</v>
      </c>
      <c r="GO413" s="163"/>
      <c r="GP413" s="39"/>
      <c r="GQ413" s="22"/>
      <c r="GR413" s="39"/>
      <c r="GS413" s="39"/>
      <c r="GT413" s="22"/>
      <c r="GU413" s="43"/>
      <c r="GV413" s="79">
        <f>+GV18+GV104+GV142+GV337</f>
        <v>0</v>
      </c>
      <c r="GW413" s="79">
        <f>+GW18+GW104+GW142+GW337</f>
        <v>0</v>
      </c>
      <c r="GX413" s="79">
        <f>+GX18+GX104+GX142+GX337</f>
        <v>0</v>
      </c>
      <c r="GY413" s="79">
        <f>+GY18+GY104+GY142+GY337</f>
        <v>0</v>
      </c>
      <c r="GZ413" s="21">
        <f t="shared" si="1640"/>
        <v>0</v>
      </c>
      <c r="HA413" s="39"/>
      <c r="HB413" s="39"/>
      <c r="HC413" s="22"/>
      <c r="HD413" s="39"/>
      <c r="HE413" s="39"/>
      <c r="HF413" s="22"/>
      <c r="HG413" s="233"/>
    </row>
    <row r="414" spans="1:215" s="14" customFormat="1" ht="16.5" hidden="1" thickBot="1">
      <c r="A414" s="1"/>
      <c r="B414" s="7"/>
      <c r="C414" s="199" t="s">
        <v>148</v>
      </c>
      <c r="D414" s="203"/>
      <c r="E414" s="203"/>
      <c r="F414" s="203"/>
      <c r="G414" s="203"/>
      <c r="H414" s="203"/>
      <c r="I414" s="203"/>
      <c r="J414" s="203"/>
      <c r="K414" s="203"/>
      <c r="L414" s="203"/>
      <c r="M414" s="203"/>
      <c r="N414" s="204"/>
      <c r="O414" s="203"/>
      <c r="P414" s="203"/>
      <c r="Q414" s="203"/>
      <c r="R414" s="203"/>
      <c r="S414" s="203"/>
      <c r="T414" s="203"/>
      <c r="U414" s="203"/>
      <c r="V414" s="39"/>
      <c r="W414" s="39"/>
      <c r="X414" s="22"/>
      <c r="Y414" s="39"/>
      <c r="Z414" s="79"/>
      <c r="AA414" s="39"/>
      <c r="AB414" s="79"/>
      <c r="AC414" s="19"/>
      <c r="AD414" s="19"/>
      <c r="AE414" s="50"/>
      <c r="AF414" s="19"/>
      <c r="AG414" s="19"/>
      <c r="AH414" s="39"/>
      <c r="AI414" s="39"/>
      <c r="AJ414" s="39"/>
      <c r="AK414" s="39"/>
      <c r="AL414" s="22"/>
      <c r="AM414" s="39"/>
      <c r="AN414" s="39"/>
      <c r="AO414" s="39"/>
      <c r="AP414" s="39"/>
      <c r="AQ414" s="39"/>
      <c r="AR414" s="39"/>
      <c r="AS414" s="50"/>
      <c r="AT414" s="39"/>
      <c r="AU414" s="39"/>
      <c r="AV414" s="77"/>
      <c r="AW414" s="77"/>
      <c r="AX414" s="78"/>
      <c r="AY414" s="171"/>
      <c r="AZ414" s="171"/>
      <c r="BA414" s="171"/>
      <c r="BB414" s="171"/>
      <c r="BC414" s="39"/>
      <c r="BD414" s="39"/>
      <c r="BE414" s="22"/>
      <c r="BF414" s="39"/>
      <c r="BG414" s="39"/>
      <c r="BH414" s="22"/>
      <c r="BI414" s="22"/>
      <c r="BJ414" s="40"/>
      <c r="BK414" s="74"/>
      <c r="BL414" s="74"/>
      <c r="BM414" s="74"/>
      <c r="BN414" s="74"/>
      <c r="BO414" s="74"/>
      <c r="BP414" s="74"/>
      <c r="BQ414" s="74"/>
      <c r="BR414" s="74"/>
      <c r="BS414" s="74"/>
      <c r="BT414" s="74"/>
      <c r="BU414" s="74"/>
      <c r="BV414" s="74"/>
      <c r="BW414" s="74"/>
      <c r="BX414" s="74"/>
      <c r="BY414" s="74"/>
      <c r="BZ414" s="74"/>
      <c r="CA414" s="74"/>
      <c r="CB414" s="74"/>
      <c r="CC414" s="74"/>
      <c r="CD414" s="74"/>
      <c r="CE414" s="48"/>
      <c r="CF414" s="48"/>
      <c r="CG414" s="48"/>
      <c r="CH414" s="48"/>
      <c r="CI414" s="48"/>
      <c r="CJ414" s="48"/>
      <c r="CK414" s="48"/>
      <c r="CL414" s="48"/>
      <c r="CM414" s="48"/>
      <c r="CN414" s="48"/>
      <c r="CO414" s="48"/>
      <c r="CP414" s="48"/>
      <c r="CQ414" s="48"/>
      <c r="CR414" s="48"/>
      <c r="CS414" s="48"/>
      <c r="CT414" s="48"/>
      <c r="CU414" s="48"/>
      <c r="CV414" s="48"/>
      <c r="CW414" s="74"/>
      <c r="CX414" s="74"/>
      <c r="CY414" s="74"/>
      <c r="CZ414" s="74"/>
      <c r="DA414" s="20"/>
      <c r="DB414" s="20"/>
      <c r="DC414" s="51"/>
      <c r="DD414" s="51"/>
      <c r="DE414" s="74"/>
      <c r="DF414" s="74"/>
      <c r="DG414" s="74"/>
      <c r="DH414" s="74"/>
      <c r="DI414" s="39"/>
      <c r="DJ414" s="74"/>
      <c r="DK414" s="74"/>
      <c r="DL414" s="74"/>
      <c r="DM414" s="48"/>
      <c r="DN414" s="39"/>
      <c r="DO414" s="39"/>
      <c r="DP414" s="39"/>
      <c r="DQ414" s="39"/>
      <c r="DR414" s="39"/>
      <c r="DS414" s="39"/>
      <c r="DT414" s="39"/>
      <c r="DU414" s="171"/>
      <c r="DV414" s="171"/>
      <c r="DW414" s="171"/>
      <c r="DX414" s="21"/>
      <c r="DY414" s="21"/>
      <c r="DZ414" s="79"/>
      <c r="EA414" s="79"/>
      <c r="EB414" s="79"/>
      <c r="EC414" s="171"/>
      <c r="ED414" s="171"/>
      <c r="EE414" s="39"/>
      <c r="EF414" s="39"/>
      <c r="EG414" s="22"/>
      <c r="EH414" s="39"/>
      <c r="EI414" s="39"/>
      <c r="EJ414" s="22"/>
      <c r="EK414" s="40"/>
      <c r="EL414" s="19"/>
      <c r="EM414" s="19"/>
      <c r="EN414" s="21"/>
      <c r="EO414" s="21"/>
      <c r="EP414" s="21"/>
      <c r="EQ414" s="21"/>
      <c r="ER414" s="21"/>
      <c r="ES414" s="21"/>
      <c r="ET414" s="19"/>
      <c r="EU414" s="19"/>
      <c r="EV414" s="19"/>
      <c r="EW414" s="39"/>
      <c r="EX414" s="39"/>
      <c r="EY414" s="39"/>
      <c r="EZ414" s="39"/>
      <c r="FA414" s="39"/>
      <c r="FB414" s="39"/>
      <c r="FC414" s="39"/>
      <c r="FD414" s="39"/>
      <c r="FE414" s="39"/>
      <c r="FF414" s="39"/>
      <c r="FG414" s="39"/>
      <c r="FH414" s="39"/>
      <c r="FI414" s="39"/>
      <c r="FJ414" s="79"/>
      <c r="FK414" s="79"/>
      <c r="FL414" s="79"/>
      <c r="FM414" s="19"/>
      <c r="FN414" s="19"/>
      <c r="FO414" s="39"/>
      <c r="FP414" s="39"/>
      <c r="FQ414" s="22"/>
      <c r="FR414" s="39"/>
      <c r="FS414" s="39"/>
      <c r="FT414" s="22"/>
      <c r="FU414" s="40"/>
      <c r="FV414" s="79"/>
      <c r="FW414" s="79"/>
      <c r="FX414" s="19"/>
      <c r="FY414" s="19"/>
      <c r="FZ414" s="19"/>
      <c r="GA414" s="19"/>
      <c r="GB414" s="19"/>
      <c r="GC414" s="20"/>
      <c r="GD414" s="20"/>
      <c r="GE414" s="21"/>
      <c r="GF414" s="21"/>
      <c r="GG414" s="48"/>
      <c r="GH414" s="48"/>
      <c r="GI414" s="21"/>
      <c r="GJ414" s="21"/>
      <c r="GK414" s="48"/>
      <c r="GL414" s="48"/>
      <c r="GM414" s="19">
        <f>+GM409</f>
        <v>0</v>
      </c>
      <c r="GN414" s="19">
        <f>+GN409</f>
        <v>0</v>
      </c>
      <c r="GO414" s="163"/>
      <c r="GP414" s="39"/>
      <c r="GQ414" s="22"/>
      <c r="GR414" s="39"/>
      <c r="GS414" s="39"/>
      <c r="GT414" s="22"/>
      <c r="GU414" s="43"/>
      <c r="GV414" s="79">
        <f>+GV409</f>
        <v>0</v>
      </c>
      <c r="GW414" s="79">
        <f>+GW409</f>
        <v>0</v>
      </c>
      <c r="GX414" s="79">
        <f>+GX409</f>
        <v>0</v>
      </c>
      <c r="GY414" s="79">
        <f>+GY409</f>
        <v>0</v>
      </c>
      <c r="GZ414" s="21">
        <f t="shared" si="1640"/>
        <v>0</v>
      </c>
      <c r="HA414" s="39"/>
      <c r="HB414" s="39"/>
      <c r="HC414" s="22"/>
      <c r="HD414" s="39"/>
      <c r="HE414" s="39"/>
      <c r="HF414" s="22"/>
      <c r="HG414" s="233"/>
    </row>
    <row r="415" spans="1:215" s="14" customFormat="1" ht="16.5" hidden="1" thickBot="1">
      <c r="A415" s="1"/>
      <c r="B415" s="7"/>
      <c r="C415" s="199" t="s">
        <v>148</v>
      </c>
      <c r="D415" s="203" t="e">
        <f>+E415+I415</f>
        <v>#REF!</v>
      </c>
      <c r="E415" s="74" t="e">
        <f>+#REF!+#REF!+#REF!+#REF!+#REF!+#REF!+#REF!+#REF!+#REF!+#REF!+#REF!+#REF!+#REF!+#REF!</f>
        <v>#REF!</v>
      </c>
      <c r="F415" s="74" t="e">
        <f>+#REF!+#REF!+#REF!+#REF!+#REF!+#REF!+#REF!+#REF!+#REF!+#REF!+#REF!+#REF!+#REF!+#REF!</f>
        <v>#REF!</v>
      </c>
      <c r="G415" s="74" t="e">
        <f>+#REF!+#REF!+#REF!+#REF!+#REF!+#REF!+#REF!+#REF!+#REF!+#REF!+#REF!+#REF!+#REF!+#REF!</f>
        <v>#REF!</v>
      </c>
      <c r="H415" s="74" t="e">
        <f>+#REF!+#REF!+#REF!+#REF!+#REF!+#REF!+#REF!+#REF!+#REF!+#REF!+#REF!+#REF!+#REF!+#REF!</f>
        <v>#REF!</v>
      </c>
      <c r="I415" s="74" t="e">
        <f>+#REF!+#REF!+#REF!+#REF!+#REF!+#REF!+#REF!+#REF!+#REF!+#REF!+#REF!+#REF!+#REF!+#REF!</f>
        <v>#REF!</v>
      </c>
      <c r="J415" s="74" t="e">
        <f>+#REF!+#REF!+#REF!+#REF!+#REF!+#REF!+#REF!+#REF!+#REF!+#REF!+#REF!+#REF!+#REF!+#REF!</f>
        <v>#REF!</v>
      </c>
      <c r="K415" s="74" t="e">
        <f>+#REF!+#REF!+#REF!+#REF!+#REF!+#REF!+#REF!+#REF!+#REF!+#REF!+#REF!+#REF!+#REF!+#REF!</f>
        <v>#REF!</v>
      </c>
      <c r="L415" s="74" t="e">
        <f>+#REF!+#REF!+#REF!+#REF!+#REF!+#REF!+#REF!+#REF!+#REF!+#REF!+#REF!+#REF!+#REF!+#REF!</f>
        <v>#REF!</v>
      </c>
      <c r="M415" s="204" t="e">
        <f>+N415+R415</f>
        <v>#REF!</v>
      </c>
      <c r="N415" s="74" t="e">
        <f>+#REF!+#REF!+#REF!+#REF!+#REF!+#REF!+#REF!+#REF!+#REF!+#REF!+#REF!+#REF!+#REF!+#REF!</f>
        <v>#REF!</v>
      </c>
      <c r="O415" s="74" t="e">
        <f>+#REF!+#REF!+#REF!+#REF!+#REF!+#REF!+#REF!+#REF!+#REF!+#REF!+#REF!+#REF!+#REF!+#REF!</f>
        <v>#REF!</v>
      </c>
      <c r="P415" s="74" t="e">
        <f>+#REF!+#REF!+#REF!+#REF!+#REF!+#REF!+#REF!+#REF!+#REF!+#REF!+#REF!+#REF!+#REF!+#REF!</f>
        <v>#REF!</v>
      </c>
      <c r="Q415" s="74" t="e">
        <f>+#REF!+#REF!+#REF!+#REF!+#REF!+#REF!+#REF!+#REF!+#REF!+#REF!+#REF!+#REF!+#REF!+#REF!</f>
        <v>#REF!</v>
      </c>
      <c r="R415" s="74" t="e">
        <f>+#REF!+#REF!+#REF!+#REF!+#REF!+#REF!+#REF!+#REF!+#REF!+#REF!+#REF!+#REF!+#REF!+#REF!</f>
        <v>#REF!</v>
      </c>
      <c r="S415" s="74" t="e">
        <f>+#REF!+#REF!+#REF!+#REF!+#REF!+#REF!+#REF!+#REF!+#REF!+#REF!+#REF!+#REF!+#REF!+#REF!</f>
        <v>#REF!</v>
      </c>
      <c r="T415" s="74" t="e">
        <f>+#REF!+#REF!+#REF!+#REF!+#REF!+#REF!+#REF!+#REF!+#REF!+#REF!+#REF!+#REF!+#REF!+#REF!</f>
        <v>#REF!</v>
      </c>
      <c r="U415" s="74" t="e">
        <f>+#REF!+#REF!+#REF!+#REF!+#REF!+#REF!+#REF!+#REF!+#REF!+#REF!+#REF!+#REF!+#REF!+#REF!</f>
        <v>#REF!</v>
      </c>
      <c r="V415" s="39"/>
      <c r="W415" s="39"/>
      <c r="X415" s="22" t="e">
        <f>+BK415/D415*1000</f>
        <v>#REF!</v>
      </c>
      <c r="Y415" s="39"/>
      <c r="Z415" s="79" t="e">
        <f>+BO415/D415*1000</f>
        <v>#REF!</v>
      </c>
      <c r="AA415" s="39"/>
      <c r="AB415" s="79" t="e">
        <f>+BS415/D415*1000</f>
        <v>#REF!</v>
      </c>
      <c r="AC415" s="19"/>
      <c r="AD415" s="19"/>
      <c r="AE415" s="50"/>
      <c r="AF415" s="19"/>
      <c r="AG415" s="19"/>
      <c r="AH415" s="39"/>
      <c r="AI415" s="39"/>
      <c r="AJ415" s="39"/>
      <c r="AK415" s="39"/>
      <c r="AL415" s="22"/>
      <c r="AM415" s="39"/>
      <c r="AN415" s="39"/>
      <c r="AO415" s="39"/>
      <c r="AP415" s="39"/>
      <c r="AQ415" s="39"/>
      <c r="AR415" s="39"/>
      <c r="AS415" s="50"/>
      <c r="AT415" s="39"/>
      <c r="AU415" s="39"/>
      <c r="AV415" s="77"/>
      <c r="AW415" s="77"/>
      <c r="AX415" s="78"/>
      <c r="AY415" s="171" t="e">
        <f>+#REF!+#REF!+#REF!</f>
        <v>#REF!</v>
      </c>
      <c r="AZ415" s="171" t="e">
        <f>+#REF!+#REF!+#REF!</f>
        <v>#REF!</v>
      </c>
      <c r="BA415" s="171" t="e">
        <f>+#REF!+#REF!+#REF!</f>
        <v>#REF!</v>
      </c>
      <c r="BB415" s="171" t="e">
        <f>+#REF!+#REF!+#REF!</f>
        <v>#REF!</v>
      </c>
      <c r="BC415" s="39"/>
      <c r="BD415" s="39"/>
      <c r="BE415" s="22"/>
      <c r="BF415" s="39"/>
      <c r="BG415" s="39"/>
      <c r="BH415" s="22"/>
      <c r="BI415" s="22"/>
      <c r="BJ415" s="40"/>
      <c r="BK415" s="74" t="e">
        <f>+#REF!+#REF!+#REF!+#REF!+#REF!+#REF!+#REF!+#REF!+#REF!+#REF!+#REF!+#REF!+#REF!+#REF!</f>
        <v>#REF!</v>
      </c>
      <c r="BL415" s="74" t="e">
        <f>+#REF!+#REF!+#REF!+#REF!+#REF!+#REF!+#REF!+#REF!+#REF!+#REF!+#REF!+#REF!+#REF!+#REF!</f>
        <v>#REF!</v>
      </c>
      <c r="BM415" s="74" t="e">
        <f>+#REF!+#REF!+#REF!+#REF!+#REF!+#REF!+#REF!+#REF!+#REF!+#REF!+#REF!+#REF!+#REF!+#REF!</f>
        <v>#REF!</v>
      </c>
      <c r="BN415" s="74" t="e">
        <f>+#REF!+#REF!+#REF!+#REF!+#REF!+#REF!+#REF!+#REF!+#REF!+#REF!+#REF!+#REF!+#REF!+#REF!</f>
        <v>#REF!</v>
      </c>
      <c r="BO415" s="74" t="e">
        <f>+#REF!+#REF!+#REF!+#REF!+#REF!+#REF!+#REF!+#REF!+#REF!+#REF!+#REF!+#REF!+#REF!+#REF!</f>
        <v>#REF!</v>
      </c>
      <c r="BP415" s="74" t="e">
        <f>+#REF!+#REF!+#REF!+#REF!+#REF!+#REF!+#REF!+#REF!+#REF!+#REF!+#REF!+#REF!+#REF!+#REF!</f>
        <v>#REF!</v>
      </c>
      <c r="BQ415" s="74" t="e">
        <f>+#REF!+#REF!+#REF!+#REF!+#REF!+#REF!+#REF!+#REF!+#REF!+#REF!+#REF!+#REF!+#REF!+#REF!</f>
        <v>#REF!</v>
      </c>
      <c r="BR415" s="74" t="e">
        <f>+#REF!+#REF!+#REF!+#REF!+#REF!+#REF!+#REF!+#REF!+#REF!+#REF!+#REF!+#REF!+#REF!+#REF!</f>
        <v>#REF!</v>
      </c>
      <c r="BS415" s="74" t="e">
        <f>+#REF!+#REF!+#REF!+#REF!+#REF!+#REF!+#REF!+#REF!+#REF!+#REF!+#REF!+#REF!+#REF!+#REF!</f>
        <v>#REF!</v>
      </c>
      <c r="BT415" s="74" t="e">
        <f>+#REF!+#REF!+#REF!+#REF!+#REF!+#REF!+#REF!+#REF!+#REF!+#REF!+#REF!+#REF!+#REF!+#REF!</f>
        <v>#REF!</v>
      </c>
      <c r="BU415" s="74"/>
      <c r="BV415" s="74" t="e">
        <f>+#REF!+#REF!+#REF!+#REF!+#REF!+#REF!+#REF!+#REF!+#REF!+#REF!+#REF!+#REF!+#REF!+#REF!</f>
        <v>#REF!</v>
      </c>
      <c r="BW415" s="74" t="e">
        <f>+#REF!+#REF!+#REF!+#REF!+#REF!+#REF!+#REF!+#REF!+#REF!+#REF!+#REF!+#REF!+#REF!+#REF!</f>
        <v>#REF!</v>
      </c>
      <c r="BX415" s="74" t="e">
        <f>+#REF!+#REF!+#REF!+#REF!+#REF!+#REF!+#REF!+#REF!+#REF!+#REF!+#REF!+#REF!+#REF!+#REF!</f>
        <v>#REF!</v>
      </c>
      <c r="BY415" s="74" t="e">
        <f>+#REF!+#REF!+#REF!+#REF!+#REF!+#REF!+#REF!+#REF!+#REF!+#REF!+#REF!+#REF!+#REF!+#REF!</f>
        <v>#REF!</v>
      </c>
      <c r="BZ415" s="74" t="e">
        <f>+#REF!+#REF!+#REF!+#REF!+#REF!+#REF!+#REF!+#REF!+#REF!+#REF!+#REF!+#REF!+#REF!+#REF!</f>
        <v>#REF!</v>
      </c>
      <c r="CA415" s="74" t="e">
        <f>+#REF!+#REF!+#REF!+#REF!+#REF!+#REF!+#REF!+#REF!+#REF!+#REF!+#REF!+#REF!+#REF!+#REF!</f>
        <v>#REF!</v>
      </c>
      <c r="CB415" s="74" t="e">
        <f>+#REF!+#REF!+#REF!+#REF!+#REF!+#REF!+#REF!+#REF!+#REF!+#REF!+#REF!+#REF!+#REF!+#REF!</f>
        <v>#REF!</v>
      </c>
      <c r="CC415" s="74" t="e">
        <f>+#REF!+#REF!+#REF!+#REF!+#REF!+#REF!+#REF!+#REF!+#REF!+#REF!+#REF!+#REF!+#REF!+#REF!</f>
        <v>#REF!</v>
      </c>
      <c r="CD415" s="74" t="e">
        <f>+#REF!+#REF!+#REF!+#REF!+#REF!+#REF!+#REF!+#REF!+#REF!+#REF!+#REF!+#REF!+#REF!+#REF!</f>
        <v>#REF!</v>
      </c>
      <c r="CE415" s="19" t="e">
        <f t="shared" si="1611"/>
        <v>#REF!</v>
      </c>
      <c r="CF415" s="19" t="e">
        <f t="shared" si="1612"/>
        <v>#REF!</v>
      </c>
      <c r="CG415" s="19" t="e">
        <f t="shared" si="1613"/>
        <v>#REF!</v>
      </c>
      <c r="CH415" s="19" t="e">
        <f t="shared" si="1614"/>
        <v>#REF!</v>
      </c>
      <c r="CI415" s="19" t="e">
        <f t="shared" si="1615"/>
        <v>#REF!</v>
      </c>
      <c r="CJ415" s="19" t="e">
        <f t="shared" si="1616"/>
        <v>#REF!</v>
      </c>
      <c r="CK415" s="19" t="e">
        <f t="shared" si="1617"/>
        <v>#REF!</v>
      </c>
      <c r="CL415" s="19" t="e">
        <f t="shared" si="1644"/>
        <v>#REF!</v>
      </c>
      <c r="CM415" s="19" t="e">
        <f t="shared" si="1645"/>
        <v>#REF!</v>
      </c>
      <c r="CN415" s="48" t="e">
        <f t="shared" si="1582"/>
        <v>#REF!</v>
      </c>
      <c r="CO415" s="19" t="e">
        <f t="shared" si="1618"/>
        <v>#REF!</v>
      </c>
      <c r="CP415" s="19" t="e">
        <f t="shared" si="1646"/>
        <v>#REF!</v>
      </c>
      <c r="CQ415" s="19" t="e">
        <f t="shared" si="1619"/>
        <v>#REF!</v>
      </c>
      <c r="CR415" s="19" t="e">
        <f t="shared" si="1620"/>
        <v>#REF!</v>
      </c>
      <c r="CS415" s="19" t="e">
        <f t="shared" si="1621"/>
        <v>#REF!</v>
      </c>
      <c r="CT415" s="19" t="e">
        <f t="shared" si="1647"/>
        <v>#REF!</v>
      </c>
      <c r="CU415" s="48" t="e">
        <f t="shared" si="1648"/>
        <v>#REF!</v>
      </c>
      <c r="CV415" s="48" t="e">
        <f t="shared" si="1622"/>
        <v>#REF!</v>
      </c>
      <c r="CW415" s="74" t="e">
        <f>+#REF!+#REF!+#REF!+#REF!+#REF!+#REF!+#REF!+#REF!+#REF!+#REF!+#REF!+#REF!+#REF!+#REF!</f>
        <v>#REF!</v>
      </c>
      <c r="CX415" s="74" t="e">
        <f>+#REF!+#REF!+#REF!+#REF!+#REF!+#REF!+#REF!+#REF!+#REF!+#REF!+#REF!+#REF!+#REF!+#REF!</f>
        <v>#REF!</v>
      </c>
      <c r="CY415" s="74" t="e">
        <f>+#REF!+#REF!+#REF!+#REF!+#REF!+#REF!+#REF!+#REF!+#REF!+#REF!+#REF!+#REF!+#REF!+#REF!</f>
        <v>#REF!</v>
      </c>
      <c r="CZ415" s="74" t="e">
        <f>+#REF!+#REF!+#REF!+#REF!+#REF!+#REF!+#REF!+#REF!+#REF!+#REF!+#REF!+#REF!+#REF!+#REF!</f>
        <v>#REF!</v>
      </c>
      <c r="DA415" s="20" t="e">
        <f t="shared" ref="DA415:DA425" si="1655">+IF(CX415=0,,CW415/CX415*100)</f>
        <v>#REF!</v>
      </c>
      <c r="DB415" s="20" t="e">
        <f t="shared" si="1649"/>
        <v>#REF!</v>
      </c>
      <c r="DC415" s="51" t="e">
        <f t="shared" si="1650"/>
        <v>#REF!</v>
      </c>
      <c r="DD415" s="51" t="e">
        <f t="shared" si="1650"/>
        <v>#REF!</v>
      </c>
      <c r="DE415" s="74" t="e">
        <f>+#REF!+#REF!+#REF!+#REF!+#REF!+#REF!+#REF!+#REF!+#REF!+#REF!+#REF!+#REF!+#REF!+#REF!</f>
        <v>#REF!</v>
      </c>
      <c r="DF415" s="74" t="e">
        <f>+#REF!+#REF!+#REF!+#REF!+#REF!+#REF!+#REF!+#REF!+#REF!+#REF!+#REF!+#REF!+#REF!+#REF!</f>
        <v>#REF!</v>
      </c>
      <c r="DG415" s="74" t="e">
        <f>+#REF!+#REF!+#REF!+#REF!+#REF!+#REF!+#REF!+#REF!+#REF!+#REF!+#REF!+#REF!+#REF!+#REF!</f>
        <v>#REF!</v>
      </c>
      <c r="DH415" s="74" t="e">
        <f>+#REF!+#REF!+#REF!+#REF!+#REF!+#REF!+#REF!+#REF!+#REF!+#REF!+#REF!+#REF!+#REF!+#REF!</f>
        <v>#REF!</v>
      </c>
      <c r="DI415" s="39"/>
      <c r="DJ415" s="74" t="e">
        <f>+#REF!+#REF!+#REF!+#REF!+#REF!+#REF!+#REF!+#REF!+#REF!+#REF!+#REF!+#REF!+#REF!+#REF!</f>
        <v>#REF!</v>
      </c>
      <c r="DK415" s="74" t="e">
        <f>+#REF!+#REF!+#REF!+#REF!+#REF!+#REF!+#REF!+#REF!+#REF!+#REF!+#REF!+#REF!+#REF!+#REF!</f>
        <v>#REF!</v>
      </c>
      <c r="DL415" s="74" t="e">
        <f>+#REF!+#REF!+#REF!+#REF!+#REF!+#REF!+#REF!+#REF!+#REF!+#REF!+#REF!+#REF!+#REF!+#REF!</f>
        <v>#REF!</v>
      </c>
      <c r="DM415" s="48">
        <f>+AT415-'[2]тарифы (12-13) население 15%'!AP528</f>
        <v>0</v>
      </c>
      <c r="DN415" s="39"/>
      <c r="DO415" s="39"/>
      <c r="DP415" s="39"/>
      <c r="DQ415" s="39"/>
      <c r="DR415" s="39"/>
      <c r="DS415" s="39"/>
      <c r="DT415" s="39"/>
      <c r="DU415" s="39"/>
      <c r="DV415" s="171" t="e">
        <f>+#REF!+#REF!+#REF!</f>
        <v>#REF!</v>
      </c>
      <c r="DW415" s="171" t="e">
        <f>+#REF!+#REF!+#REF!</f>
        <v>#REF!</v>
      </c>
      <c r="DX415" s="46"/>
      <c r="DY415" s="21" t="e">
        <f t="shared" si="1491"/>
        <v>#REF!</v>
      </c>
      <c r="DZ415" s="79" t="e">
        <f>+#REF!+#REF!+#REF!</f>
        <v>#REF!</v>
      </c>
      <c r="EA415" s="79" t="e">
        <f>+#REF!+#REF!+#REF!</f>
        <v>#REF!</v>
      </c>
      <c r="EB415" s="79"/>
      <c r="EC415" s="39" t="e">
        <f>+#REF!+#REF!+#REF!</f>
        <v>#REF!</v>
      </c>
      <c r="ED415" s="181" t="e">
        <f>+#REF!+#REF!+#REF!</f>
        <v>#REF!</v>
      </c>
      <c r="EE415" s="39"/>
      <c r="EF415" s="39"/>
      <c r="EG415" s="22">
        <f t="shared" si="1494"/>
        <v>0</v>
      </c>
      <c r="EH415" s="39"/>
      <c r="EI415" s="39"/>
      <c r="EJ415" s="22">
        <f t="shared" si="1495"/>
        <v>0</v>
      </c>
      <c r="EK415" s="40"/>
      <c r="EL415" s="19" t="e">
        <f>+#REF!+#REF!+#REF!</f>
        <v>#REF!</v>
      </c>
      <c r="EM415" s="19" t="e">
        <f>+#REF!+#REF!+#REF!</f>
        <v>#REF!</v>
      </c>
      <c r="EN415" s="21" t="e">
        <f>+#REF!+#REF!+#REF!</f>
        <v>#REF!</v>
      </c>
      <c r="EO415" s="21" t="e">
        <f>+#REF!+#REF!+#REF!</f>
        <v>#REF!</v>
      </c>
      <c r="EP415" s="21"/>
      <c r="EQ415" s="21" t="e">
        <f t="shared" si="1623"/>
        <v>#REF!</v>
      </c>
      <c r="ER415" s="21"/>
      <c r="ES415" s="21" t="e">
        <f>+#REF!+#REF!+#REF!</f>
        <v>#REF!</v>
      </c>
      <c r="ET415" s="19" t="e">
        <f t="shared" ref="ET415:ET423" si="1656">+ES415/EL415</f>
        <v>#REF!</v>
      </c>
      <c r="EU415" s="19" t="e">
        <f>+#REF!+#REF!+#REF!</f>
        <v>#REF!</v>
      </c>
      <c r="EV415" s="19" t="e">
        <f t="shared" ref="EV415:EV423" si="1657">+EU415/EL415</f>
        <v>#REF!</v>
      </c>
      <c r="EW415" s="39"/>
      <c r="EX415" s="39" t="e">
        <f>+#REF!+#REF!+#REF!</f>
        <v>#REF!</v>
      </c>
      <c r="EY415" s="39" t="e">
        <f>+#REF!+#REF!+#REF!</f>
        <v>#REF!</v>
      </c>
      <c r="EZ415" s="39"/>
      <c r="FA415" s="39" t="e">
        <f>+EY415/EX415</f>
        <v>#REF!</v>
      </c>
      <c r="FB415" s="39" t="e">
        <f>+EX415/AY415</f>
        <v>#REF!</v>
      </c>
      <c r="FC415" s="39" t="e">
        <f>+EY415/AY415</f>
        <v>#REF!</v>
      </c>
      <c r="FD415" s="39"/>
      <c r="FE415" s="39"/>
      <c r="FF415" s="39"/>
      <c r="FG415" s="39"/>
      <c r="FH415" s="39"/>
      <c r="FI415" s="39"/>
      <c r="FJ415" s="79" t="e">
        <f>+#REF!+#REF!+#REF!</f>
        <v>#REF!</v>
      </c>
      <c r="FK415" s="79" t="e">
        <f>+#REF!+#REF!+#REF!</f>
        <v>#REF!</v>
      </c>
      <c r="FL415" s="46"/>
      <c r="FM415" s="19" t="e">
        <f>+#REF!+#REF!+#REF!</f>
        <v>#REF!</v>
      </c>
      <c r="FN415" s="19"/>
      <c r="FO415" s="39">
        <f t="shared" si="1624"/>
        <v>0</v>
      </c>
      <c r="FP415" s="39"/>
      <c r="FQ415" s="22"/>
      <c r="FR415" s="39">
        <f t="shared" si="1625"/>
        <v>0</v>
      </c>
      <c r="FS415" s="39"/>
      <c r="FT415" s="22">
        <f t="shared" si="1626"/>
        <v>0</v>
      </c>
      <c r="FU415" s="40"/>
      <c r="FV415" s="79" t="e">
        <f>+#REF!+#REF!+#REF!</f>
        <v>#REF!</v>
      </c>
      <c r="FW415" s="79" t="e">
        <f>+#REF!+#REF!+#REF!</f>
        <v>#REF!</v>
      </c>
      <c r="FX415" s="19" t="e">
        <f t="shared" si="1629"/>
        <v>#REF!</v>
      </c>
      <c r="FY415" s="19" t="e">
        <f>+#REF!+#REF!+#REF!</f>
        <v>#REF!</v>
      </c>
      <c r="FZ415" s="19" t="e">
        <f>+#REF!+#REF!+#REF!</f>
        <v>#REF!</v>
      </c>
      <c r="GA415" s="19" t="e">
        <f>+#REF!+#REF!+#REF!</f>
        <v>#REF!</v>
      </c>
      <c r="GB415" s="19" t="e">
        <f>+#REF!+#REF!+#REF!</f>
        <v>#REF!</v>
      </c>
      <c r="GC415" s="20" t="e">
        <f t="shared" si="1652"/>
        <v>#REF!</v>
      </c>
      <c r="GD415" s="20" t="e">
        <f t="shared" si="1633"/>
        <v>#REF!</v>
      </c>
      <c r="GE415" s="21" t="e">
        <f>+#REF!+#REF!+#REF!</f>
        <v>#REF!</v>
      </c>
      <c r="GF415" s="21" t="e">
        <f>+#REF!+#REF!+#REF!</f>
        <v>#REF!</v>
      </c>
      <c r="GG415" s="48" t="e">
        <f t="shared" si="1653"/>
        <v>#REF!</v>
      </c>
      <c r="GH415" s="48"/>
      <c r="GI415" s="21" t="e">
        <f>+#REF!+#REF!+#REF!</f>
        <v>#REF!</v>
      </c>
      <c r="GJ415" s="21" t="e">
        <f>+#REF!+#REF!+#REF!</f>
        <v>#REF!</v>
      </c>
      <c r="GK415" s="48" t="e">
        <f t="shared" si="1654"/>
        <v>#REF!</v>
      </c>
      <c r="GL415" s="48"/>
      <c r="GM415" s="19" t="e">
        <f>+#REF!+#REF!+#REF!</f>
        <v>#REF!</v>
      </c>
      <c r="GN415" s="19" t="e">
        <f>+#REF!+#REF!+#REF!</f>
        <v>#REF!</v>
      </c>
      <c r="GO415" s="163"/>
      <c r="GP415" s="39"/>
      <c r="GQ415" s="22"/>
      <c r="GR415" s="39"/>
      <c r="GS415" s="39"/>
      <c r="GT415" s="22"/>
      <c r="GU415" s="43"/>
      <c r="GV415" s="79" t="e">
        <f>+#REF!+#REF!+#REF!</f>
        <v>#REF!</v>
      </c>
      <c r="GW415" s="79" t="e">
        <f>+#REF!+#REF!+#REF!</f>
        <v>#REF!</v>
      </c>
      <c r="GX415" s="79" t="e">
        <f>+#REF!+#REF!+#REF!</f>
        <v>#REF!</v>
      </c>
      <c r="GY415" s="79" t="e">
        <f>+#REF!+#REF!+#REF!</f>
        <v>#REF!</v>
      </c>
      <c r="GZ415" s="21"/>
      <c r="HA415" s="39"/>
      <c r="HB415" s="39"/>
      <c r="HC415" s="22"/>
      <c r="HD415" s="39"/>
      <c r="HE415" s="39"/>
      <c r="HF415" s="22">
        <f t="shared" si="1651"/>
        <v>0</v>
      </c>
      <c r="HG415" s="233"/>
    </row>
    <row r="416" spans="1:215" s="14" customFormat="1" ht="16.5" hidden="1" thickBot="1">
      <c r="A416" s="1"/>
      <c r="B416" s="7"/>
      <c r="C416" s="199" t="s">
        <v>148</v>
      </c>
      <c r="D416" s="203" t="e">
        <f t="shared" ref="D416:D425" si="1658">+E416+I416</f>
        <v>#REF!</v>
      </c>
      <c r="E416" s="76" t="e">
        <f>+E9+#REF!+#REF!+#REF!+#REF!+#REF!+#REF!+#REF!+#REF!+#REF!+#REF!+#REF!+#REF!+#REF!+E222+#REF!+#REF!+#REF!+#REF!+#REF!+#REF!+#REF!+#REF!+#REF!+#REF!</f>
        <v>#REF!</v>
      </c>
      <c r="F416" s="76" t="e">
        <f>+F9+#REF!+#REF!+#REF!+#REF!+#REF!+#REF!+#REF!+#REF!+#REF!+#REF!+#REF!+#REF!+#REF!+F222+#REF!+#REF!+#REF!+#REF!+#REF!+#REF!+#REF!+#REF!+#REF!+#REF!</f>
        <v>#REF!</v>
      </c>
      <c r="G416" s="76" t="e">
        <f>+G9+#REF!+#REF!+#REF!+#REF!+#REF!+#REF!+#REF!+#REF!+#REF!+#REF!+#REF!+#REF!+#REF!+G222+#REF!+#REF!+#REF!+#REF!+#REF!+#REF!+#REF!+#REF!+#REF!+#REF!</f>
        <v>#REF!</v>
      </c>
      <c r="H416" s="76" t="e">
        <f>+H9+#REF!+#REF!+#REF!+#REF!+#REF!+#REF!+#REF!+#REF!+#REF!+#REF!+#REF!+#REF!+#REF!+H222+#REF!+#REF!+#REF!+#REF!+#REF!+#REF!+#REF!+#REF!+#REF!+#REF!</f>
        <v>#REF!</v>
      </c>
      <c r="I416" s="76" t="e">
        <f>+I9+#REF!+#REF!+#REF!+#REF!+#REF!+#REF!+#REF!+#REF!+#REF!+#REF!+#REF!+#REF!+#REF!+I222+#REF!+#REF!+#REF!+#REF!+#REF!+#REF!+#REF!+#REF!+#REF!+#REF!</f>
        <v>#REF!</v>
      </c>
      <c r="J416" s="76" t="e">
        <f>+J9+#REF!+#REF!+#REF!+#REF!+#REF!+#REF!+#REF!+#REF!+#REF!+#REF!+#REF!+#REF!+#REF!+J222+#REF!+#REF!+#REF!+#REF!+#REF!+#REF!+#REF!+#REF!+#REF!+#REF!</f>
        <v>#REF!</v>
      </c>
      <c r="K416" s="76" t="e">
        <f>+K9+#REF!+#REF!+#REF!+#REF!+#REF!+#REF!+#REF!+#REF!+#REF!+#REF!+#REF!+#REF!+#REF!+K222+#REF!+#REF!+#REF!+#REF!+#REF!+#REF!+#REF!+#REF!+#REF!+#REF!</f>
        <v>#REF!</v>
      </c>
      <c r="L416" s="76" t="e">
        <f>+L9+#REF!+#REF!+#REF!+#REF!+#REF!+#REF!+#REF!+#REF!+#REF!+#REF!+#REF!+#REF!+#REF!+L222+#REF!+#REF!+#REF!+#REF!+#REF!+#REF!+#REF!+#REF!+#REF!+#REF!</f>
        <v>#REF!</v>
      </c>
      <c r="M416" s="204" t="e">
        <f>+N416+R416</f>
        <v>#REF!</v>
      </c>
      <c r="N416" s="74" t="e">
        <f>+N9+#REF!+#REF!+#REF!+#REF!+#REF!+#REF!+#REF!+#REF!+#REF!+#REF!+#REF!+#REF!+#REF!+N222+#REF!+#REF!+#REF!+#REF!+#REF!+#REF!+#REF!+#REF!+#REF!+#REF!</f>
        <v>#REF!</v>
      </c>
      <c r="O416" s="74" t="e">
        <f>+O9+#REF!+#REF!+#REF!+#REF!+#REF!+#REF!+#REF!+#REF!+#REF!+#REF!+#REF!+#REF!+#REF!+O222+#REF!+#REF!+#REF!+#REF!+#REF!+#REF!+#REF!+#REF!+#REF!+#REF!</f>
        <v>#REF!</v>
      </c>
      <c r="P416" s="74" t="e">
        <f>+P9+#REF!+#REF!+#REF!+#REF!+#REF!+#REF!+#REF!+#REF!+#REF!+#REF!+#REF!+#REF!+#REF!+P222+#REF!+#REF!+#REF!+#REF!+#REF!+#REF!+#REF!+#REF!+#REF!+#REF!</f>
        <v>#REF!</v>
      </c>
      <c r="Q416" s="74" t="e">
        <f>+Q9+#REF!+#REF!+#REF!+#REF!+#REF!+#REF!+#REF!+#REF!+#REF!+#REF!+#REF!+#REF!+#REF!+Q222+#REF!+#REF!+#REF!+#REF!+#REF!+#REF!+#REF!+#REF!+#REF!+#REF!</f>
        <v>#REF!</v>
      </c>
      <c r="R416" s="74" t="e">
        <f>+R9+#REF!+#REF!+#REF!+#REF!+#REF!+#REF!+#REF!+#REF!+#REF!+#REF!+#REF!+#REF!+#REF!+R222+#REF!+#REF!+#REF!+#REF!+#REF!+#REF!+#REF!+#REF!+#REF!+#REF!</f>
        <v>#REF!</v>
      </c>
      <c r="S416" s="74" t="e">
        <f>+S9+#REF!+#REF!+#REF!+#REF!+#REF!+#REF!+#REF!+#REF!+#REF!+#REF!+#REF!+#REF!+#REF!+S222+#REF!+#REF!+#REF!+#REF!+#REF!+#REF!+#REF!+#REF!+#REF!+#REF!</f>
        <v>#REF!</v>
      </c>
      <c r="T416" s="74" t="e">
        <f>+T9+#REF!+#REF!+#REF!+#REF!+#REF!+#REF!+#REF!+#REF!+#REF!+#REF!+#REF!+#REF!+#REF!+T222+#REF!+#REF!+#REF!+#REF!+#REF!+#REF!+#REF!+#REF!+#REF!+#REF!</f>
        <v>#REF!</v>
      </c>
      <c r="U416" s="74" t="e">
        <f>+U9+#REF!+#REF!+#REF!+#REF!+#REF!+#REF!+#REF!+#REF!+#REF!+#REF!+#REF!+#REF!+#REF!+U222+#REF!+#REF!+#REF!+#REF!+#REF!+#REF!+#REF!+#REF!+#REF!+#REF!</f>
        <v>#REF!</v>
      </c>
      <c r="V416" s="76" t="e">
        <f>+V9+#REF!+#REF!+#REF!+#REF!+#REF!+#REF!+#REF!+#REF!+#REF!+#REF!+#REF!+#REF!+#REF!+V222+#REF!+#REF!+#REF!+#REF!+#REF!+#REF!+#REF!+#REF!+#REF!+#REF!</f>
        <v>#REF!</v>
      </c>
      <c r="W416" s="76" t="e">
        <f>+W9+#REF!+#REF!+#REF!+#REF!+#REF!+#REF!+#REF!+#REF!+#REF!+#REF!+#REF!+#REF!+#REF!+W222+#REF!+#REF!+#REF!+#REF!+#REF!+#REF!+#REF!+#REF!+#REF!+#REF!</f>
        <v>#REF!</v>
      </c>
      <c r="X416" s="76" t="e">
        <f>+X9+#REF!+#REF!+#REF!+#REF!+#REF!+#REF!+#REF!+#REF!+#REF!+#REF!+#REF!+#REF!+#REF!+X222+#REF!+#REF!+#REF!+#REF!+#REF!+#REF!+#REF!+#REF!+#REF!+#REF!</f>
        <v>#REF!</v>
      </c>
      <c r="Y416" s="76" t="e">
        <f>+Y9+#REF!+#REF!+#REF!+#REF!+#REF!+#REF!+#REF!+#REF!+#REF!+#REF!+#REF!+#REF!+#REF!+Y222+#REF!+#REF!+#REF!+#REF!+#REF!+#REF!+#REF!+#REF!+#REF!+#REF!</f>
        <v>#REF!</v>
      </c>
      <c r="Z416" s="76" t="e">
        <f>+Z9+#REF!+#REF!+#REF!+#REF!+#REF!+#REF!+#REF!+#REF!+#REF!+#REF!+#REF!+#REF!+#REF!+Z222+#REF!+#REF!+#REF!+#REF!+#REF!+#REF!+#REF!+#REF!+#REF!+#REF!</f>
        <v>#REF!</v>
      </c>
      <c r="AA416" s="76" t="e">
        <f>+AA9+#REF!+#REF!+#REF!+#REF!+#REF!+#REF!+#REF!+#REF!+#REF!+#REF!+#REF!+#REF!+#REF!+AA222+#REF!+#REF!+#REF!+#REF!+#REF!+#REF!+#REF!+#REF!+#REF!+#REF!</f>
        <v>#REF!</v>
      </c>
      <c r="AB416" s="76" t="e">
        <f>+AB9+#REF!+#REF!+#REF!+#REF!+#REF!+#REF!+#REF!+#REF!+#REF!+#REF!+#REF!+#REF!+#REF!+AB222+#REF!+#REF!+#REF!+#REF!+#REF!+#REF!+#REF!+#REF!+#REF!+#REF!</f>
        <v>#REF!</v>
      </c>
      <c r="AC416" s="19"/>
      <c r="AD416" s="19"/>
      <c r="AE416" s="50"/>
      <c r="AF416" s="19"/>
      <c r="AG416" s="19"/>
      <c r="AH416" s="39"/>
      <c r="AI416" s="39"/>
      <c r="AJ416" s="39"/>
      <c r="AK416" s="39"/>
      <c r="AL416" s="22"/>
      <c r="AM416" s="39"/>
      <c r="AN416" s="39"/>
      <c r="AO416" s="39"/>
      <c r="AP416" s="39"/>
      <c r="AQ416" s="39"/>
      <c r="AR416" s="39"/>
      <c r="AS416" s="50"/>
      <c r="AT416" s="39"/>
      <c r="AU416" s="39"/>
      <c r="AV416" s="77"/>
      <c r="AW416" s="77"/>
      <c r="AX416" s="78"/>
      <c r="AY416" s="171" t="e">
        <f>+#REF!</f>
        <v>#REF!</v>
      </c>
      <c r="AZ416" s="171" t="e">
        <f>+#REF!</f>
        <v>#REF!</v>
      </c>
      <c r="BA416" s="171" t="e">
        <f>+#REF!</f>
        <v>#REF!</v>
      </c>
      <c r="BB416" s="171" t="e">
        <f>+#REF!</f>
        <v>#REF!</v>
      </c>
      <c r="BC416" s="39"/>
      <c r="BD416" s="39"/>
      <c r="BE416" s="22"/>
      <c r="BF416" s="39"/>
      <c r="BG416" s="39"/>
      <c r="BH416" s="22"/>
      <c r="BI416" s="22"/>
      <c r="BJ416" s="40"/>
      <c r="BK416" s="74" t="e">
        <f>+BK9+#REF!+#REF!+#REF!+#REF!+#REF!+#REF!+#REF!+#REF!+#REF!+#REF!+#REF!+#REF!+#REF!+BK222+#REF!+#REF!+#REF!+#REF!+#REF!+#REF!+#REF!+#REF!+#REF!+#REF!</f>
        <v>#REF!</v>
      </c>
      <c r="BL416" s="74" t="e">
        <f>+BL9+#REF!+#REF!+#REF!+#REF!+#REF!+#REF!+#REF!+#REF!+#REF!+#REF!+#REF!+#REF!+#REF!+BL222+#REF!+#REF!+#REF!+#REF!+#REF!+#REF!+#REF!+#REF!+#REF!+#REF!</f>
        <v>#REF!</v>
      </c>
      <c r="BM416" s="74" t="e">
        <f>+BM9+#REF!+#REF!+#REF!+#REF!+#REF!+#REF!+#REF!+#REF!+#REF!+#REF!+#REF!+#REF!+#REF!+BM222+#REF!+#REF!+#REF!+#REF!+#REF!+#REF!+#REF!+#REF!+#REF!+#REF!</f>
        <v>#REF!</v>
      </c>
      <c r="BN416" s="74" t="e">
        <f>+BN9+#REF!+#REF!+#REF!+#REF!+#REF!+#REF!+#REF!+#REF!+#REF!+#REF!+#REF!+#REF!+#REF!+BN222+#REF!+#REF!+#REF!+#REF!+#REF!+#REF!+#REF!+#REF!+#REF!+#REF!</f>
        <v>#REF!</v>
      </c>
      <c r="BO416" s="74" t="e">
        <f>+BO9+#REF!+#REF!+#REF!+#REF!+#REF!+#REF!+#REF!+#REF!+#REF!+#REF!+#REF!+#REF!+#REF!+BO222+#REF!+#REF!+#REF!+#REF!+#REF!+#REF!+#REF!+#REF!+#REF!+#REF!</f>
        <v>#REF!</v>
      </c>
      <c r="BP416" s="74" t="e">
        <f>+BP9+#REF!+#REF!+#REF!+#REF!+#REF!+#REF!+#REF!+#REF!+#REF!+#REF!+#REF!+#REF!+#REF!+BP222+#REF!+#REF!+#REF!+#REF!+#REF!+#REF!+#REF!+#REF!+#REF!+#REF!</f>
        <v>#REF!</v>
      </c>
      <c r="BQ416" s="74" t="e">
        <f>+BQ9+#REF!+#REF!+#REF!+#REF!+#REF!+#REF!+#REF!+#REF!+#REF!+#REF!+#REF!+#REF!+#REF!+BQ222+#REF!+#REF!+#REF!+#REF!+#REF!+#REF!+#REF!+#REF!+#REF!+#REF!</f>
        <v>#REF!</v>
      </c>
      <c r="BR416" s="74" t="e">
        <f>+BR9+#REF!+#REF!+#REF!+#REF!+#REF!+#REF!+#REF!+#REF!+#REF!+#REF!+#REF!+#REF!+#REF!+BR222+#REF!+#REF!+#REF!+#REF!+#REF!+#REF!+#REF!+#REF!+#REF!+#REF!</f>
        <v>#REF!</v>
      </c>
      <c r="BS416" s="74" t="e">
        <f>+BS9+#REF!+#REF!+#REF!+#REF!+#REF!+#REF!+#REF!+#REF!+#REF!+#REF!+#REF!+#REF!+#REF!+BS222+#REF!+#REF!+#REF!+#REF!+#REF!+#REF!+#REF!+#REF!+#REF!+#REF!</f>
        <v>#REF!</v>
      </c>
      <c r="BT416" s="74" t="e">
        <f>+BT9+#REF!+#REF!+#REF!+#REF!+#REF!+#REF!+#REF!+#REF!+#REF!+#REF!+#REF!+#REF!+#REF!+BT222+#REF!+#REF!+#REF!+#REF!+#REF!+#REF!+#REF!+#REF!+#REF!+#REF!</f>
        <v>#REF!</v>
      </c>
      <c r="BU416" s="74"/>
      <c r="BV416" s="74" t="e">
        <f>+BV9+#REF!+#REF!+#REF!+#REF!+#REF!+#REF!+#REF!+#REF!+#REF!+#REF!+#REF!+#REF!+#REF!+BV222+#REF!+#REF!+#REF!+#REF!+#REF!+#REF!+#REF!+#REF!+#REF!+#REF!</f>
        <v>#REF!</v>
      </c>
      <c r="BW416" s="74" t="e">
        <f>+BW9+#REF!+#REF!+#REF!+#REF!+#REF!+#REF!+#REF!+#REF!+#REF!+#REF!+#REF!+#REF!+#REF!+BW222+#REF!+#REF!+#REF!+#REF!+#REF!+#REF!+#REF!+#REF!+#REF!+#REF!</f>
        <v>#REF!</v>
      </c>
      <c r="BX416" s="74" t="e">
        <f>+BX9+#REF!+#REF!+#REF!+#REF!+#REF!+#REF!+#REF!+#REF!+#REF!+#REF!+#REF!+#REF!+#REF!+BX222+#REF!+#REF!+#REF!+#REF!+#REF!+#REF!+#REF!+#REF!+#REF!+#REF!</f>
        <v>#REF!</v>
      </c>
      <c r="BY416" s="74" t="e">
        <f>+BY9+#REF!+#REF!+#REF!+#REF!+#REF!+#REF!+#REF!+#REF!+#REF!+#REF!+#REF!+#REF!+#REF!+BY222+#REF!+#REF!+#REF!+#REF!+#REF!+#REF!+#REF!+#REF!+#REF!+#REF!</f>
        <v>#REF!</v>
      </c>
      <c r="BZ416" s="74" t="e">
        <f>+BZ9+#REF!+#REF!+#REF!+#REF!+#REF!+#REF!+#REF!+#REF!+#REF!+#REF!+#REF!+#REF!+#REF!+BZ222+#REF!+#REF!+#REF!+#REF!+#REF!+#REF!+#REF!+#REF!+#REF!+#REF!</f>
        <v>#REF!</v>
      </c>
      <c r="CA416" s="74" t="e">
        <f>+CA9+#REF!+#REF!+#REF!+#REF!+#REF!+#REF!+#REF!+#REF!+#REF!+#REF!+#REF!+#REF!+#REF!+CA222+#REF!+#REF!+#REF!+#REF!+#REF!+#REF!+#REF!+#REF!+#REF!+#REF!</f>
        <v>#REF!</v>
      </c>
      <c r="CB416" s="74" t="e">
        <f>+CB9+#REF!+#REF!+#REF!+#REF!+#REF!+#REF!+#REF!+#REF!+#REF!+#REF!+#REF!+#REF!+#REF!+CB222+#REF!+#REF!+#REF!+#REF!+#REF!+#REF!+#REF!+#REF!+#REF!+#REF!</f>
        <v>#REF!</v>
      </c>
      <c r="CC416" s="74" t="e">
        <f>+CC9+#REF!+#REF!+#REF!+#REF!+#REF!+#REF!+#REF!+#REF!+#REF!+#REF!+#REF!+#REF!+#REF!+CC222+#REF!+#REF!+#REF!+#REF!+#REF!+#REF!+#REF!+#REF!+#REF!+#REF!</f>
        <v>#REF!</v>
      </c>
      <c r="CD416" s="74" t="e">
        <f>+CD9+#REF!+#REF!+#REF!+#REF!+#REF!+#REF!+#REF!+#REF!+#REF!+#REF!+#REF!+#REF!+#REF!+CD222+#REF!+#REF!+#REF!+#REF!+#REF!+#REF!+#REF!+#REF!+#REF!+#REF!</f>
        <v>#REF!</v>
      </c>
      <c r="CE416" s="19" t="e">
        <f t="shared" si="1611"/>
        <v>#REF!</v>
      </c>
      <c r="CF416" s="19" t="e">
        <f t="shared" si="1612"/>
        <v>#REF!</v>
      </c>
      <c r="CG416" s="19" t="e">
        <f t="shared" si="1613"/>
        <v>#REF!</v>
      </c>
      <c r="CH416" s="19" t="e">
        <f t="shared" si="1614"/>
        <v>#REF!</v>
      </c>
      <c r="CI416" s="19" t="e">
        <f t="shared" si="1615"/>
        <v>#REF!</v>
      </c>
      <c r="CJ416" s="19" t="e">
        <f t="shared" si="1616"/>
        <v>#REF!</v>
      </c>
      <c r="CK416" s="19" t="e">
        <f t="shared" si="1617"/>
        <v>#REF!</v>
      </c>
      <c r="CL416" s="19" t="e">
        <f t="shared" si="1644"/>
        <v>#REF!</v>
      </c>
      <c r="CM416" s="19" t="e">
        <f t="shared" si="1645"/>
        <v>#REF!</v>
      </c>
      <c r="CN416" s="48" t="e">
        <f t="shared" si="1582"/>
        <v>#REF!</v>
      </c>
      <c r="CO416" s="19" t="e">
        <f t="shared" si="1618"/>
        <v>#REF!</v>
      </c>
      <c r="CP416" s="19" t="e">
        <f t="shared" si="1646"/>
        <v>#REF!</v>
      </c>
      <c r="CQ416" s="19" t="e">
        <f t="shared" si="1619"/>
        <v>#REF!</v>
      </c>
      <c r="CR416" s="19" t="e">
        <f t="shared" si="1620"/>
        <v>#REF!</v>
      </c>
      <c r="CS416" s="19" t="e">
        <f t="shared" si="1621"/>
        <v>#REF!</v>
      </c>
      <c r="CT416" s="19" t="e">
        <f t="shared" si="1647"/>
        <v>#REF!</v>
      </c>
      <c r="CU416" s="48" t="e">
        <f t="shared" si="1648"/>
        <v>#REF!</v>
      </c>
      <c r="CV416" s="48" t="e">
        <f t="shared" si="1622"/>
        <v>#REF!</v>
      </c>
      <c r="CW416" s="74" t="e">
        <f>+CW9+#REF!+#REF!+#REF!+#REF!+#REF!+#REF!+#REF!+#REF!+#REF!+#REF!+#REF!+#REF!+#REF!+CW222+#REF!+#REF!+#REF!+#REF!+#REF!+#REF!+#REF!+#REF!+#REF!+#REF!</f>
        <v>#REF!</v>
      </c>
      <c r="CX416" s="74" t="e">
        <f>+CX9+#REF!+#REF!+#REF!+#REF!+#REF!+#REF!+#REF!+#REF!+#REF!+#REF!+#REF!+#REF!+#REF!+CX222+#REF!+#REF!+#REF!+#REF!+#REF!+#REF!+#REF!+#REF!+#REF!+#REF!</f>
        <v>#REF!</v>
      </c>
      <c r="CY416" s="74" t="e">
        <f>+CY9+#REF!+#REF!+#REF!+#REF!+#REF!+#REF!+#REF!+#REF!+#REF!+#REF!+#REF!+#REF!+#REF!+CY222+#REF!+#REF!+#REF!+#REF!+#REF!+#REF!+#REF!+#REF!+#REF!+#REF!</f>
        <v>#REF!</v>
      </c>
      <c r="CZ416" s="74" t="e">
        <f>+CZ9+#REF!+#REF!+#REF!+#REF!+#REF!+#REF!+#REF!+#REF!+#REF!+#REF!+#REF!+#REF!+#REF!+CZ222+#REF!+#REF!+#REF!+#REF!+#REF!+#REF!+#REF!+#REF!+#REF!+#REF!</f>
        <v>#REF!</v>
      </c>
      <c r="DA416" s="20" t="e">
        <f t="shared" si="1655"/>
        <v>#REF!</v>
      </c>
      <c r="DB416" s="20" t="e">
        <f t="shared" si="1649"/>
        <v>#REF!</v>
      </c>
      <c r="DC416" s="51" t="e">
        <f t="shared" si="1650"/>
        <v>#REF!</v>
      </c>
      <c r="DD416" s="51" t="e">
        <f t="shared" si="1650"/>
        <v>#REF!</v>
      </c>
      <c r="DE416" s="74" t="e">
        <f>+DE9+#REF!+#REF!+#REF!+#REF!+#REF!+#REF!+#REF!+#REF!+#REF!+#REF!+#REF!+#REF!+#REF!+DE222+#REF!+#REF!+#REF!+#REF!+#REF!+#REF!+#REF!+#REF!+#REF!+#REF!</f>
        <v>#REF!</v>
      </c>
      <c r="DF416" s="74" t="e">
        <f>+DF9+#REF!+#REF!+#REF!+#REF!+#REF!+#REF!+#REF!+#REF!+#REF!+#REF!+#REF!+#REF!+#REF!+DF222+#REF!+#REF!+#REF!+#REF!+#REF!+#REF!+#REF!+#REF!+#REF!+#REF!</f>
        <v>#REF!</v>
      </c>
      <c r="DG416" s="74" t="e">
        <f>+DG9+#REF!+#REF!+#REF!+#REF!+#REF!+#REF!+#REF!+#REF!+#REF!+#REF!+#REF!+#REF!+#REF!+DG222+#REF!+#REF!+#REF!+#REF!+#REF!+#REF!+#REF!+#REF!+#REF!+#REF!</f>
        <v>#REF!</v>
      </c>
      <c r="DH416" s="74" t="e">
        <f>+DH9+#REF!+#REF!+#REF!+#REF!+#REF!+#REF!+#REF!+#REF!+#REF!+#REF!+#REF!+#REF!+#REF!+DH222+#REF!+#REF!+#REF!+#REF!+#REF!+#REF!+#REF!+#REF!+#REF!+#REF!</f>
        <v>#REF!</v>
      </c>
      <c r="DI416" s="39"/>
      <c r="DJ416" s="74" t="e">
        <f>+DJ9+#REF!+#REF!+#REF!+#REF!+#REF!+#REF!+#REF!+#REF!+#REF!+#REF!+#REF!+#REF!+#REF!+DJ222+#REF!+#REF!+#REF!+#REF!+#REF!+#REF!+#REF!+#REF!+#REF!+#REF!</f>
        <v>#REF!</v>
      </c>
      <c r="DK416" s="74" t="e">
        <f>+DK9+#REF!+#REF!+#REF!+#REF!+#REF!+#REF!+#REF!+#REF!+#REF!+#REF!+#REF!+#REF!+#REF!+DK222+#REF!+#REF!+#REF!+#REF!+#REF!+#REF!+#REF!+#REF!+#REF!+#REF!</f>
        <v>#REF!</v>
      </c>
      <c r="DL416" s="74" t="e">
        <f>+DL9+#REF!+#REF!+#REF!+#REF!+#REF!+#REF!+#REF!+#REF!+#REF!+#REF!+#REF!+#REF!+#REF!+DL222+#REF!+#REF!+#REF!+#REF!+#REF!+#REF!+#REF!+#REF!+#REF!+#REF!</f>
        <v>#REF!</v>
      </c>
      <c r="DM416" s="48">
        <f>+AT416-'[2]тарифы (12-13) население 15%'!AP529</f>
        <v>0</v>
      </c>
      <c r="DN416" s="39"/>
      <c r="DO416" s="39"/>
      <c r="DP416" s="39"/>
      <c r="DQ416" s="39"/>
      <c r="DR416" s="39"/>
      <c r="DS416" s="39"/>
      <c r="DT416" s="39"/>
      <c r="DU416" s="39"/>
      <c r="DV416" s="171" t="e">
        <f>+#REF!</f>
        <v>#REF!</v>
      </c>
      <c r="DW416" s="171" t="e">
        <f>+#REF!</f>
        <v>#REF!</v>
      </c>
      <c r="DX416" s="21">
        <f>+'[1]тарифы (НВВ) население на 4,2%'!CN510</f>
        <v>99.999935687655537</v>
      </c>
      <c r="DY416" s="21" t="e">
        <f t="shared" si="1491"/>
        <v>#REF!</v>
      </c>
      <c r="DZ416" s="79" t="e">
        <f>+#REF!</f>
        <v>#REF!</v>
      </c>
      <c r="EA416" s="79" t="e">
        <f>+#REF!</f>
        <v>#REF!</v>
      </c>
      <c r="EB416" s="79"/>
      <c r="EC416" s="171" t="e">
        <f>+#REF!</f>
        <v>#REF!</v>
      </c>
      <c r="ED416" s="171" t="e">
        <f>+#REF!</f>
        <v>#REF!</v>
      </c>
      <c r="EE416" s="39"/>
      <c r="EF416" s="39"/>
      <c r="EG416" s="22">
        <f t="shared" si="1494"/>
        <v>0</v>
      </c>
      <c r="EH416" s="39"/>
      <c r="EI416" s="39"/>
      <c r="EJ416" s="22">
        <f t="shared" si="1495"/>
        <v>0</v>
      </c>
      <c r="EK416" s="40"/>
      <c r="EL416" s="19" t="e">
        <f>+#REF!</f>
        <v>#REF!</v>
      </c>
      <c r="EM416" s="19" t="e">
        <f>+#REF!</f>
        <v>#REF!</v>
      </c>
      <c r="EN416" s="21" t="e">
        <f>+#REF!</f>
        <v>#REF!</v>
      </c>
      <c r="EO416" s="21" t="e">
        <f>+#REF!</f>
        <v>#REF!</v>
      </c>
      <c r="EP416" s="21"/>
      <c r="EQ416" s="21" t="e">
        <f t="shared" si="1623"/>
        <v>#REF!</v>
      </c>
      <c r="ER416" s="21"/>
      <c r="ES416" s="21" t="e">
        <f>+#REF!</f>
        <v>#REF!</v>
      </c>
      <c r="ET416" s="19" t="e">
        <f>+ES416/EL416</f>
        <v>#REF!</v>
      </c>
      <c r="EU416" s="19" t="e">
        <f>+#REF!</f>
        <v>#REF!</v>
      </c>
      <c r="EV416" s="19" t="e">
        <f t="shared" si="1657"/>
        <v>#REF!</v>
      </c>
      <c r="EW416" s="39"/>
      <c r="EX416" s="39" t="e">
        <f>+#REF!</f>
        <v>#REF!</v>
      </c>
      <c r="EY416" s="39" t="e">
        <f>+#REF!</f>
        <v>#REF!</v>
      </c>
      <c r="EZ416" s="39"/>
      <c r="FA416" s="39" t="e">
        <f>+EY416/EX416</f>
        <v>#REF!</v>
      </c>
      <c r="FB416" s="39" t="e">
        <f>+EX416/AY416</f>
        <v>#REF!</v>
      </c>
      <c r="FC416" s="39" t="e">
        <f>+EY416/AY416</f>
        <v>#REF!</v>
      </c>
      <c r="FD416" s="39"/>
      <c r="FE416" s="39"/>
      <c r="FF416" s="39"/>
      <c r="FG416" s="39"/>
      <c r="FH416" s="39"/>
      <c r="FI416" s="39"/>
      <c r="FJ416" s="79" t="e">
        <f>+#REF!</f>
        <v>#REF!</v>
      </c>
      <c r="FK416" s="79" t="e">
        <f>+#REF!</f>
        <v>#REF!</v>
      </c>
      <c r="FL416" s="46"/>
      <c r="FM416" s="19" t="e">
        <f>+#REF!</f>
        <v>#REF!</v>
      </c>
      <c r="FN416" s="19" t="e">
        <f>+#REF!</f>
        <v>#REF!</v>
      </c>
      <c r="FO416" s="39">
        <f t="shared" si="1624"/>
        <v>0</v>
      </c>
      <c r="FP416" s="39"/>
      <c r="FQ416" s="22"/>
      <c r="FR416" s="39">
        <f t="shared" si="1625"/>
        <v>0</v>
      </c>
      <c r="FS416" s="39"/>
      <c r="FT416" s="22">
        <f t="shared" si="1626"/>
        <v>0</v>
      </c>
      <c r="FU416" s="40"/>
      <c r="FV416" s="79" t="e">
        <f>+#REF!</f>
        <v>#REF!</v>
      </c>
      <c r="FW416" s="79" t="e">
        <f>+#REF!</f>
        <v>#REF!</v>
      </c>
      <c r="FX416" s="19" t="e">
        <f t="shared" si="1629"/>
        <v>#REF!</v>
      </c>
      <c r="FY416" s="19" t="e">
        <f>+#REF!</f>
        <v>#REF!</v>
      </c>
      <c r="FZ416" s="19" t="e">
        <f>+#REF!</f>
        <v>#REF!</v>
      </c>
      <c r="GA416" s="19" t="e">
        <f>+#REF!</f>
        <v>#REF!</v>
      </c>
      <c r="GB416" s="19" t="e">
        <f>+#REF!</f>
        <v>#REF!</v>
      </c>
      <c r="GC416" s="20" t="e">
        <f t="shared" si="1632"/>
        <v>#REF!</v>
      </c>
      <c r="GD416" s="20" t="e">
        <f t="shared" si="1633"/>
        <v>#REF!</v>
      </c>
      <c r="GE416" s="21" t="e">
        <f>+#REF!</f>
        <v>#REF!</v>
      </c>
      <c r="GF416" s="21" t="e">
        <f>+#REF!</f>
        <v>#REF!</v>
      </c>
      <c r="GG416" s="48" t="e">
        <f t="shared" si="1653"/>
        <v>#REF!</v>
      </c>
      <c r="GH416" s="48" t="e">
        <f t="shared" si="1653"/>
        <v>#REF!</v>
      </c>
      <c r="GI416" s="21" t="e">
        <f>+#REF!</f>
        <v>#REF!</v>
      </c>
      <c r="GJ416" s="21" t="e">
        <f>+#REF!</f>
        <v>#REF!</v>
      </c>
      <c r="GK416" s="48" t="e">
        <f t="shared" si="1654"/>
        <v>#REF!</v>
      </c>
      <c r="GL416" s="48" t="e">
        <f t="shared" si="1654"/>
        <v>#REF!</v>
      </c>
      <c r="GM416" s="19" t="e">
        <f>+#REF!</f>
        <v>#REF!</v>
      </c>
      <c r="GN416" s="19" t="e">
        <f>+#REF!</f>
        <v>#REF!</v>
      </c>
      <c r="GO416" s="163"/>
      <c r="GP416" s="39"/>
      <c r="GQ416" s="22"/>
      <c r="GR416" s="39"/>
      <c r="GS416" s="39"/>
      <c r="GT416" s="22"/>
      <c r="GU416" s="43"/>
      <c r="GV416" s="79" t="e">
        <f>+#REF!</f>
        <v>#REF!</v>
      </c>
      <c r="GW416" s="79" t="e">
        <f>+#REF!</f>
        <v>#REF!</v>
      </c>
      <c r="GX416" s="79" t="e">
        <f>+#REF!</f>
        <v>#REF!</v>
      </c>
      <c r="GY416" s="79" t="e">
        <f>+#REF!</f>
        <v>#REF!</v>
      </c>
      <c r="GZ416" s="21" t="e">
        <f t="shared" si="1640"/>
        <v>#REF!</v>
      </c>
      <c r="HA416" s="39"/>
      <c r="HB416" s="39"/>
      <c r="HC416" s="22"/>
      <c r="HD416" s="39"/>
      <c r="HE416" s="39"/>
      <c r="HF416" s="22">
        <f t="shared" si="1651"/>
        <v>0</v>
      </c>
      <c r="HG416" s="233"/>
    </row>
    <row r="417" spans="1:215" s="14" customFormat="1" ht="15.75" hidden="1">
      <c r="A417" s="1"/>
      <c r="B417" s="15"/>
      <c r="C417" s="199" t="s">
        <v>148</v>
      </c>
      <c r="D417" s="203" t="e">
        <f t="shared" si="1658"/>
        <v>#REF!</v>
      </c>
      <c r="E417" s="76" t="e">
        <f>+#REF!+E223+#REF!</f>
        <v>#REF!</v>
      </c>
      <c r="F417" s="76" t="e">
        <f>+#REF!+F223+#REF!</f>
        <v>#REF!</v>
      </c>
      <c r="G417" s="76" t="e">
        <f>+#REF!+G223+#REF!</f>
        <v>#REF!</v>
      </c>
      <c r="H417" s="76" t="e">
        <f>+#REF!+H223+#REF!</f>
        <v>#REF!</v>
      </c>
      <c r="I417" s="76" t="e">
        <f>+#REF!+I223+#REF!</f>
        <v>#REF!</v>
      </c>
      <c r="J417" s="76" t="e">
        <f>+#REF!+J223+#REF!</f>
        <v>#REF!</v>
      </c>
      <c r="K417" s="76" t="e">
        <f>+#REF!+K223+#REF!</f>
        <v>#REF!</v>
      </c>
      <c r="L417" s="76" t="e">
        <f>+#REF!+L223+#REF!</f>
        <v>#REF!</v>
      </c>
      <c r="M417" s="204" t="e">
        <f>+N417+R417</f>
        <v>#REF!</v>
      </c>
      <c r="N417" s="74" t="e">
        <f>+#REF!+N223+#REF!</f>
        <v>#REF!</v>
      </c>
      <c r="O417" s="74" t="e">
        <f>+#REF!+O223+#REF!</f>
        <v>#REF!</v>
      </c>
      <c r="P417" s="74" t="e">
        <f>+#REF!+P223+#REF!</f>
        <v>#REF!</v>
      </c>
      <c r="Q417" s="74" t="e">
        <f>+#REF!+Q223+#REF!</f>
        <v>#REF!</v>
      </c>
      <c r="R417" s="74" t="e">
        <f>+#REF!+R223+#REF!</f>
        <v>#REF!</v>
      </c>
      <c r="S417" s="74" t="e">
        <f>+#REF!+S223+#REF!</f>
        <v>#REF!</v>
      </c>
      <c r="T417" s="74" t="e">
        <f>+#REF!+T223+#REF!</f>
        <v>#REF!</v>
      </c>
      <c r="U417" s="74" t="e">
        <f>+#REF!+U223+#REF!</f>
        <v>#REF!</v>
      </c>
      <c r="V417" s="39"/>
      <c r="W417" s="39"/>
      <c r="X417" s="22" t="e">
        <f>+BK417/D417*1000</f>
        <v>#REF!</v>
      </c>
      <c r="Y417" s="39"/>
      <c r="Z417" s="79" t="e">
        <f>+BO417/D417*1000</f>
        <v>#REF!</v>
      </c>
      <c r="AA417" s="39"/>
      <c r="AB417" s="79" t="e">
        <f>+BS417/D417*1000</f>
        <v>#REF!</v>
      </c>
      <c r="AC417" s="19"/>
      <c r="AD417" s="19"/>
      <c r="AE417" s="50"/>
      <c r="AF417" s="19"/>
      <c r="AG417" s="19"/>
      <c r="AH417" s="39"/>
      <c r="AI417" s="39"/>
      <c r="AJ417" s="39"/>
      <c r="AK417" s="39"/>
      <c r="AL417" s="22"/>
      <c r="AM417" s="39"/>
      <c r="AN417" s="39"/>
      <c r="AO417" s="39"/>
      <c r="AP417" s="39"/>
      <c r="AQ417" s="39"/>
      <c r="AR417" s="39"/>
      <c r="AS417" s="50"/>
      <c r="AT417" s="39"/>
      <c r="AU417" s="39"/>
      <c r="AV417" s="77"/>
      <c r="AW417" s="77"/>
      <c r="AX417" s="78"/>
      <c r="AY417" s="171" t="e">
        <f>+AZ417+BA417+BB417</f>
        <v>#REF!</v>
      </c>
      <c r="AZ417" s="171" t="e">
        <f>+#REF!+#REF!+AZ397+#REF!+#REF!+#REF!+#REF!+#REF!+AZ359+AZ325+AZ322+#REF!+#REF!+#REF!+#REF!+#REF!+#REF!+AZ287+AZ285+#REF!+#REF!+AZ282+AZ266+#REF!+#REF!+#REF!+AZ254+#REF!+AZ239+#REF!+AZ199+#REF!+AZ197+AZ195+AZ156+#REF!+#REF!+#REF!+#REF!+#REF!+#REF!+#REF!+#REF!+#REF!+AZ26+#REF!+AZ28+#REF!+AZ30+#REF!+#REF!+#REF!+AZ50+AZ52+#REF!+#REF!+#REF!+#REF!+#REF!+#REF!+AZ71</f>
        <v>#REF!</v>
      </c>
      <c r="BA417" s="171" t="e">
        <f>+#REF!+#REF!+BA397+#REF!+#REF!+#REF!+#REF!+#REF!+BA359+BA325+BA322+#REF!+#REF!+#REF!+#REF!+#REF!+#REF!+BA287+BA285+#REF!+#REF!+BA282+BA266+#REF!+#REF!+#REF!+BA254+#REF!+BA239+#REF!+BA199+#REF!+BA197+BA195+BA156+#REF!+#REF!+#REF!+#REF!+#REF!+#REF!+#REF!+#REF!+#REF!+BA26+#REF!+BA28+#REF!+BA30+#REF!+#REF!+#REF!+BA50+BA52+#REF!+#REF!+#REF!+#REF!+#REF!+#REF!+BA71</f>
        <v>#REF!</v>
      </c>
      <c r="BB417" s="171" t="e">
        <f>+#REF!+#REF!+BB397+#REF!+#REF!+#REF!+#REF!+#REF!+BB359+BB325+BB322+#REF!+#REF!+#REF!+#REF!+#REF!+#REF!+BB287+BB285+#REF!+#REF!+BB282+BB266+#REF!+#REF!+#REF!+BB254+#REF!+BB239+#REF!+BB199+#REF!+BB197+BB195+BB156+#REF!+#REF!+#REF!+#REF!+#REF!+#REF!+#REF!+#REF!+#REF!+BB26+#REF!+BB28+#REF!+BB30+#REF!+#REF!+#REF!+BB50+BB52+#REF!+#REF!+#REF!+#REF!+#REF!+#REF!+BB71+2.08</f>
        <v>#REF!</v>
      </c>
      <c r="BC417" s="39"/>
      <c r="BD417" s="39"/>
      <c r="BE417" s="22"/>
      <c r="BF417" s="39"/>
      <c r="BG417" s="39"/>
      <c r="BH417" s="22"/>
      <c r="BI417" s="22"/>
      <c r="BJ417" s="40"/>
      <c r="BK417" s="74" t="e">
        <f>+#REF!+BK223+#REF!</f>
        <v>#REF!</v>
      </c>
      <c r="BL417" s="74" t="e">
        <f>+#REF!+BL223+#REF!</f>
        <v>#REF!</v>
      </c>
      <c r="BM417" s="74" t="e">
        <f>+#REF!+BM223+#REF!</f>
        <v>#REF!</v>
      </c>
      <c r="BN417" s="74" t="e">
        <f>+#REF!+BN223+#REF!</f>
        <v>#REF!</v>
      </c>
      <c r="BO417" s="74" t="e">
        <f>+#REF!+BO223+#REF!</f>
        <v>#REF!</v>
      </c>
      <c r="BP417" s="74" t="e">
        <f>+#REF!+BP223+#REF!</f>
        <v>#REF!</v>
      </c>
      <c r="BQ417" s="74" t="e">
        <f>+#REF!+BQ223+#REF!</f>
        <v>#REF!</v>
      </c>
      <c r="BR417" s="74" t="e">
        <f>+#REF!+BR223+#REF!</f>
        <v>#REF!</v>
      </c>
      <c r="BS417" s="74" t="e">
        <f>+#REF!+BS223+#REF!</f>
        <v>#REF!</v>
      </c>
      <c r="BT417" s="74" t="e">
        <f>+#REF!+BT223+#REF!</f>
        <v>#REF!</v>
      </c>
      <c r="BU417" s="74" t="e">
        <f>+#REF!+#REF!+BU71+#REF!+#REF!+#REF!+BU266+BU322+BU325</f>
        <v>#REF!</v>
      </c>
      <c r="BV417" s="74" t="e">
        <f>+#REF!+BV223+#REF!</f>
        <v>#REF!</v>
      </c>
      <c r="BW417" s="74" t="e">
        <f>+#REF!+BW223+#REF!</f>
        <v>#REF!</v>
      </c>
      <c r="BX417" s="74" t="e">
        <f>+#REF!+BX223+#REF!</f>
        <v>#REF!</v>
      </c>
      <c r="BY417" s="74" t="e">
        <f>+#REF!+BY223+#REF!</f>
        <v>#REF!</v>
      </c>
      <c r="BZ417" s="74" t="e">
        <f>+#REF!+BZ223+#REF!</f>
        <v>#REF!</v>
      </c>
      <c r="CA417" s="74" t="e">
        <f>+#REF!+CA223+#REF!</f>
        <v>#REF!</v>
      </c>
      <c r="CB417" s="74" t="e">
        <f>+#REF!+CB223+#REF!</f>
        <v>#REF!</v>
      </c>
      <c r="CC417" s="74" t="e">
        <f>+#REF!+CC223+#REF!</f>
        <v>#REF!</v>
      </c>
      <c r="CD417" s="74" t="e">
        <f>+#REF!+CD223+#REF!</f>
        <v>#REF!</v>
      </c>
      <c r="CE417" s="19" t="e">
        <f t="shared" si="1611"/>
        <v>#REF!</v>
      </c>
      <c r="CF417" s="19" t="e">
        <f t="shared" si="1612"/>
        <v>#REF!</v>
      </c>
      <c r="CG417" s="19" t="e">
        <f t="shared" si="1613"/>
        <v>#REF!</v>
      </c>
      <c r="CH417" s="19" t="e">
        <f t="shared" si="1614"/>
        <v>#REF!</v>
      </c>
      <c r="CI417" s="19" t="e">
        <f t="shared" si="1615"/>
        <v>#REF!</v>
      </c>
      <c r="CJ417" s="19" t="e">
        <f t="shared" si="1616"/>
        <v>#REF!</v>
      </c>
      <c r="CK417" s="19" t="e">
        <f t="shared" si="1617"/>
        <v>#REF!</v>
      </c>
      <c r="CL417" s="19" t="e">
        <f t="shared" si="1644"/>
        <v>#REF!</v>
      </c>
      <c r="CM417" s="19" t="e">
        <f t="shared" si="1645"/>
        <v>#REF!</v>
      </c>
      <c r="CN417" s="48" t="e">
        <f t="shared" si="1582"/>
        <v>#REF!</v>
      </c>
      <c r="CO417" s="19" t="e">
        <f t="shared" si="1618"/>
        <v>#REF!</v>
      </c>
      <c r="CP417" s="19" t="e">
        <f t="shared" si="1646"/>
        <v>#REF!</v>
      </c>
      <c r="CQ417" s="19" t="e">
        <f t="shared" si="1619"/>
        <v>#REF!</v>
      </c>
      <c r="CR417" s="19" t="e">
        <f t="shared" si="1620"/>
        <v>#REF!</v>
      </c>
      <c r="CS417" s="19" t="e">
        <f t="shared" si="1621"/>
        <v>#REF!</v>
      </c>
      <c r="CT417" s="19" t="e">
        <f t="shared" si="1647"/>
        <v>#REF!</v>
      </c>
      <c r="CU417" s="48" t="e">
        <f t="shared" si="1648"/>
        <v>#REF!</v>
      </c>
      <c r="CV417" s="48" t="e">
        <f t="shared" si="1622"/>
        <v>#REF!</v>
      </c>
      <c r="CW417" s="74" t="e">
        <f>+#REF!+CW223+#REF!</f>
        <v>#REF!</v>
      </c>
      <c r="CX417" s="74" t="e">
        <f>+#REF!+CX223+#REF!</f>
        <v>#REF!</v>
      </c>
      <c r="CY417" s="74" t="e">
        <f>+#REF!+CY223+#REF!</f>
        <v>#REF!</v>
      </c>
      <c r="CZ417" s="74" t="e">
        <f>+#REF!+CZ223+#REF!</f>
        <v>#REF!</v>
      </c>
      <c r="DA417" s="20" t="e">
        <f t="shared" si="1655"/>
        <v>#REF!</v>
      </c>
      <c r="DB417" s="20" t="e">
        <f t="shared" si="1649"/>
        <v>#REF!</v>
      </c>
      <c r="DC417" s="51" t="e">
        <f t="shared" si="1650"/>
        <v>#REF!</v>
      </c>
      <c r="DD417" s="51" t="e">
        <f t="shared" si="1650"/>
        <v>#REF!</v>
      </c>
      <c r="DE417" s="74" t="e">
        <f>+#REF!+DE223+#REF!</f>
        <v>#REF!</v>
      </c>
      <c r="DF417" s="74" t="e">
        <f>+#REF!+DF223+#REF!</f>
        <v>#REF!</v>
      </c>
      <c r="DG417" s="74" t="e">
        <f>+#REF!+DG223+#REF!</f>
        <v>#REF!</v>
      </c>
      <c r="DH417" s="74" t="e">
        <f>+#REF!+DH223+#REF!</f>
        <v>#REF!</v>
      </c>
      <c r="DI417" s="39"/>
      <c r="DJ417" s="74" t="e">
        <f>+#REF!+DJ223+#REF!</f>
        <v>#REF!</v>
      </c>
      <c r="DK417" s="74" t="e">
        <f>+#REF!+DK223+#REF!</f>
        <v>#REF!</v>
      </c>
      <c r="DL417" s="74" t="e">
        <f>+#REF!+DL223+#REF!</f>
        <v>#REF!</v>
      </c>
      <c r="DM417" s="48">
        <f>+AT417-'[2]тарифы (12-13) население 15%'!AP530</f>
        <v>0</v>
      </c>
      <c r="DN417" s="39"/>
      <c r="DO417" s="39"/>
      <c r="DP417" s="39"/>
      <c r="DQ417" s="39"/>
      <c r="DR417" s="39"/>
      <c r="DS417" s="39"/>
      <c r="DT417" s="39"/>
      <c r="DU417" s="39"/>
      <c r="DV417" s="171" t="e">
        <f>+#REF!+#REF!+DV397+#REF!+#REF!+#REF!+#REF!+#REF!+DV359+DV325+DV322+#REF!+#REF!+#REF!+#REF!+#REF!+#REF!+DV287+DV285+#REF!+#REF!+DV282+DV266+#REF!+#REF!+#REF!+DV254+#REF!+DV239+#REF!+DV199+#REF!+DV197+DV195+DV156+#REF!+#REF!+#REF!+#REF!+#REF!+#REF!+#REF!+#REF!+#REF!+DV26+#REF!+DV28+#REF!+DV30+#REF!+#REF!+#REF!+DV50+DV52+#REF!+#REF!+#REF!+#REF!+#REF!+#REF!+DV71</f>
        <v>#REF!</v>
      </c>
      <c r="DW417" s="171" t="e">
        <f>+#REF!+#REF!+DW397+#REF!+#REF!+#REF!+#REF!+#REF!+DW359+DW325+DW322+#REF!+#REF!+#REF!+#REF!+#REF!+#REF!+DW287+DW285+#REF!+#REF!+DW282+DW266+#REF!+#REF!+#REF!+DW254+#REF!+DW239+#REF!+DW199+#REF!+DW197+DW195+DW156+#REF!+#REF!+#REF!+#REF!+#REF!+#REF!+#REF!+#REF!+#REF!+DW26+#REF!+DW28+#REF!+DW30+#REF!+#REF!+#REF!+DW50+DW52+#REF!+#REF!+#REF!+#REF!+#REF!+#REF!+DW71</f>
        <v>#REF!</v>
      </c>
      <c r="DX417" s="46"/>
      <c r="DY417" s="21" t="e">
        <f t="shared" si="1491"/>
        <v>#REF!</v>
      </c>
      <c r="DZ417" s="19" t="e">
        <f>+#REF!+#REF!+DZ397+#REF!+#REF!+#REF!+#REF!+#REF!+DZ359+DZ325+DZ322+#REF!+#REF!+#REF!+#REF!+#REF!+#REF!+DZ287+DZ285+#REF!+#REF!+DZ282+DZ266+#REF!+#REF!+#REF!+DZ254+#REF!+DZ239+#REF!+DZ199+#REF!+DZ197+DZ195+DZ156+#REF!+#REF!+#REF!+#REF!+#REF!+#REF!+#REF!+#REF!+#REF!+DZ26+#REF!+DZ28+#REF!+DZ30+#REF!+#REF!+#REF!+DZ50+DZ52+#REF!+#REF!+#REF!+#REF!+#REF!+#REF!+DZ71</f>
        <v>#REF!</v>
      </c>
      <c r="EA417" s="19" t="e">
        <f>+#REF!+#REF!+EA397+#REF!+#REF!+#REF!+#REF!+#REF!+EA359+EA325+EA322+#REF!+#REF!+#REF!+#REF!+#REF!+#REF!+EA287+EA285+#REF!+#REF!+EA282+EA266+#REF!+#REF!+#REF!+EA254+#REF!+EA239+#REF!+EA199+#REF!+EA197+EA195+EA156+#REF!+#REF!+#REF!+#REF!+#REF!+#REF!+#REF!+#REF!+#REF!+EA26+#REF!+EA28+#REF!+EA30+#REF!+#REF!+#REF!+EA50+EA52+#REF!+#REF!+#REF!+#REF!+#REF!+#REF!+EA71+5.5</f>
        <v>#REF!</v>
      </c>
      <c r="EB417" s="19"/>
      <c r="EC417" s="171" t="e">
        <f>+#REF!+#REF!+EC397+#REF!+#REF!+#REF!+#REF!+#REF!+EC359+EC325+EC322+#REF!+#REF!+#REF!+#REF!+#REF!+#REF!+EC287+EC285+#REF!+#REF!+EC282+EC266+#REF!+#REF!+#REF!+EC254+#REF!+EC239+#REF!+EC199+#REF!+EC197+EC195+EC156+#REF!+#REF!+#REF!+#REF!+#REF!+#REF!+#REF!+#REF!+#REF!+EC26+#REF!+EC28+#REF!+EC30+#REF!+#REF!+#REF!+EC50+EC52+#REF!+#REF!+#REF!+#REF!+#REF!+#REF!+EC71+EC383+#REF!+#REF!</f>
        <v>#REF!</v>
      </c>
      <c r="ED417" s="171" t="e">
        <f>+#REF!+#REF!+ED397+#REF!+#REF!+#REF!+#REF!+#REF!+ED359+ED325+ED322+#REF!+#REF!+#REF!+#REF!+#REF!+#REF!+ED287+ED285+#REF!+#REF!+ED282+ED266+#REF!+#REF!+#REF!+ED254+#REF!+ED239+#REF!+ED199+#REF!+ED197+ED195+ED156+#REF!+#REF!+#REF!+#REF!+#REF!+#REF!+#REF!+#REF!+#REF!+ED26+#REF!+ED28+#REF!+ED30+#REF!+#REF!+#REF!+ED50+ED52+#REF!+#REF!+#REF!+#REF!+#REF!+#REF!+ED71+ED383+#REF!+#REF!</f>
        <v>#REF!</v>
      </c>
      <c r="EE417" s="39"/>
      <c r="EF417" s="39"/>
      <c r="EG417" s="22">
        <f t="shared" si="1494"/>
        <v>0</v>
      </c>
      <c r="EH417" s="39"/>
      <c r="EI417" s="39"/>
      <c r="EJ417" s="22">
        <f t="shared" si="1495"/>
        <v>0</v>
      </c>
      <c r="EK417" s="40"/>
      <c r="EL417" s="19" t="e">
        <f>+#REF!+#REF!+EL397+#REF!+#REF!+#REF!+#REF!+#REF!+EL359+EL325+EL322+#REF!+#REF!+#REF!+#REF!+#REF!+#REF!+EL287+EL285+#REF!+#REF!+EL282+EL266+#REF!+#REF!+#REF!+EL254+#REF!+EL239+#REF!+EL199+#REF!+EL197+EL195+EL156+#REF!+#REF!+#REF!+#REF!+#REF!+#REF!+#REF!+#REF!+#REF!+EL26+#REF!+EL28+#REF!+EL30+#REF!+#REF!+#REF!+EL50+EL52+#REF!+#REF!+#REF!+#REF!+#REF!+#REF!+EL71+EL383+#REF!+#REF!</f>
        <v>#REF!</v>
      </c>
      <c r="EM417" s="19" t="e">
        <f>+#REF!+#REF!+EM397+#REF!+#REF!+#REF!+#REF!+#REF!+EM359+EM325+EM322+#REF!+#REF!+#REF!+#REF!+#REF!+#REF!+EM287+EM285+#REF!+#REF!+EM282+EM266+#REF!+#REF!+#REF!+EM254+#REF!+EM239+#REF!+EM199+#REF!+EM197+EM195+EM156+#REF!+#REF!+#REF!+#REF!+#REF!+#REF!+#REF!+#REF!+#REF!+EM26+#REF!+EM28+#REF!+EM30+#REF!+#REF!+#REF!+EM50+EM52+#REF!+#REF!+#REF!+#REF!+#REF!+#REF!+EM71+EM383+#REF!+#REF!</f>
        <v>#REF!</v>
      </c>
      <c r="EN417" s="21" t="e">
        <f>+#REF!+#REF!+EN397+#REF!+#REF!+#REF!+#REF!+#REF!+EN359+EN325+EN322+#REF!+#REF!+#REF!+#REF!+#REF!+#REF!+EN287+EN285+#REF!+#REF!+EN282+EN266+#REF!+#REF!+#REF!+EN254+#REF!+EN239+#REF!+EN199+#REF!+EN197+EN195+EN156+#REF!+#REF!+#REF!+#REF!+#REF!+#REF!+#REF!+#REF!+#REF!+EN26+#REF!+EN28+#REF!+EN30+#REF!+#REF!+#REF!+EN50+EN52+#REF!+#REF!+#REF!+#REF!+#REF!+#REF!+EN71+EN383+#REF!+#REF!</f>
        <v>#REF!</v>
      </c>
      <c r="EO417" s="21" t="e">
        <f>+#REF!+#REF!+EO397+#REF!+#REF!+#REF!+#REF!+#REF!+EO359+EO325+EO322+#REF!+#REF!+#REF!+#REF!+#REF!+#REF!+EO287+EO285+#REF!+#REF!+EO282+EO266+#REF!+#REF!+#REF!+EO254+#REF!+EO239+#REF!+EO199+#REF!+EO197+EO195+EO156+#REF!+#REF!+#REF!+#REF!+#REF!+#REF!+#REF!+#REF!+#REF!+EO26+#REF!+EO28+#REF!+EO30+#REF!+#REF!+#REF!+EO50+EO52+#REF!+#REF!+#REF!+#REF!+#REF!+#REF!+EO71+EO383+#REF!+#REF!</f>
        <v>#REF!</v>
      </c>
      <c r="EP417" s="21"/>
      <c r="EQ417" s="21" t="e">
        <f t="shared" si="1623"/>
        <v>#REF!</v>
      </c>
      <c r="ER417" s="21"/>
      <c r="ES417" s="21" t="e">
        <f>+#REF!+#REF!+ES397+#REF!+#REF!+#REF!+#REF!+#REF!+ES359+ES325+ES322+#REF!+#REF!+#REF!+#REF!+#REF!+#REF!+ES287+ES285+#REF!+#REF!+ES282+ES266+#REF!+#REF!+#REF!+ES254+#REF!+ES239+#REF!+ES199+#REF!+ES197+ES195+ES156+#REF!+#REF!+#REF!+#REF!+#REF!+#REF!+#REF!+#REF!+#REF!+ES26+#REF!+ES28+#REF!+ES30+#REF!+#REF!+#REF!+ES50+ES52+#REF!+#REF!+#REF!+#REF!+#REF!+#REF!+ES71+ES383+#REF!+#REF!</f>
        <v>#REF!</v>
      </c>
      <c r="ET417" s="19" t="e">
        <f t="shared" si="1656"/>
        <v>#REF!</v>
      </c>
      <c r="EU417" s="19" t="e">
        <f>+#REF!+#REF!+EU397+#REF!+#REF!+#REF!+#REF!+#REF!+EU359+EU325+EU322+#REF!+#REF!+#REF!+#REF!+#REF!+#REF!+EU287+EU285+#REF!+#REF!+EU282+EU266+#REF!+#REF!+#REF!+EU254+#REF!+EU239+#REF!+EU199+#REF!+EU197+EU195+EU156+#REF!+#REF!+#REF!+#REF!+#REF!+#REF!+#REF!+#REF!+#REF!+EU26+#REF!+EU28+#REF!+EU30+#REF!+#REF!+#REF!+EU50+EU52+#REF!+#REF!+#REF!+#REF!+#REF!+#REF!+EU71+EU383+#REF!+#REF!</f>
        <v>#REF!</v>
      </c>
      <c r="EV417" s="19" t="e">
        <f t="shared" si="1657"/>
        <v>#REF!</v>
      </c>
      <c r="EW417" s="39"/>
      <c r="EX417" s="39" t="e">
        <f>+#REF!+#REF!+EX397+#REF!+#REF!+#REF!+#REF!+#REF!+EX359+EX325+EX322+#REF!+#REF!+#REF!+#REF!+#REF!+#REF!+EX287+EX285+#REF!+#REF!+EX282+EX266+#REF!+#REF!+#REF!+EX254+#REF!+EX239+#REF!+EX199+#REF!+EX197+EX195+EX156+#REF!+#REF!+#REF!+#REF!+#REF!+#REF!+#REF!+#REF!+#REF!+EX26+#REF!+EX28+#REF!+EX30+#REF!+#REF!+#REF!+EX50+EX52+#REF!+#REF!+#REF!+#REF!+#REF!+#REF!+EX71+EX383+#REF!+#REF!</f>
        <v>#REF!</v>
      </c>
      <c r="EY417" s="39" t="e">
        <f>+#REF!+#REF!+EY397+#REF!+#REF!+#REF!+#REF!+#REF!+EY359+EY325+EY322+#REF!+#REF!+#REF!+#REF!+#REF!+#REF!+EY287+EY285+#REF!+#REF!+EY282+EY266+#REF!+#REF!+#REF!+EY254+#REF!+EY239+#REF!+EY199+#REF!+EY197+EY195+EY156+#REF!+#REF!+#REF!+#REF!+#REF!+#REF!+#REF!+#REF!+#REF!+EY26+#REF!+EY28+#REF!+EY30+#REF!+#REF!+#REF!+EY50+EY52+#REF!+#REF!+#REF!+#REF!+#REF!+#REF!+EY71+EY383+#REF!+#REF!</f>
        <v>#REF!</v>
      </c>
      <c r="EZ417" s="39"/>
      <c r="FA417" s="39" t="e">
        <f>+EY417/EX417</f>
        <v>#REF!</v>
      </c>
      <c r="FB417" s="39" t="e">
        <f>+EX417/AY417</f>
        <v>#REF!</v>
      </c>
      <c r="FC417" s="39" t="e">
        <f>+EY417/AY417</f>
        <v>#REF!</v>
      </c>
      <c r="FD417" s="39"/>
      <c r="FE417" s="39"/>
      <c r="FF417" s="39"/>
      <c r="FG417" s="39"/>
      <c r="FH417" s="39"/>
      <c r="FI417" s="39"/>
      <c r="FJ417" s="79" t="e">
        <f>+#REF!+#REF!+FJ397+#REF!+#REF!+#REF!+#REF!+#REF!+FJ359+FJ325+FJ322+#REF!+#REF!+#REF!+#REF!+#REF!+#REF!+FJ287+FJ285+#REF!+#REF!+FJ282+FJ266+#REF!+#REF!+#REF!+FJ254+#REF!+FJ239+#REF!+FJ199+#REF!+FJ197+FJ195+FJ156+#REF!+#REF!+#REF!+#REF!+#REF!+#REF!+#REF!+#REF!+#REF!+FJ26+#REF!+FJ28+#REF!+FJ30+#REF!+#REF!+#REF!+FJ50+FJ52+#REF!+#REF!+#REF!+#REF!+#REF!+#REF!+FJ71+FJ383+#REF!+#REF!</f>
        <v>#REF!</v>
      </c>
      <c r="FK417" s="79" t="e">
        <f>+#REF!+#REF!+FK397+#REF!+#REF!+#REF!+#REF!+#REF!+FK359+FK325+FK322+#REF!+#REF!+#REF!+#REF!+#REF!+#REF!+FK287+FK285+#REF!+#REF!+FK282+FK266+#REF!+#REF!+#REF!+FK254+#REF!+FK239+#REF!+FK199+#REF!+FK197+FK195+FK156+#REF!+#REF!+#REF!+#REF!+#REF!+#REF!+#REF!+#REF!+#REF!+FK26+#REF!+FK28+#REF!+FK30+#REF!+#REF!+#REF!+FK50+FK52+#REF!+#REF!+#REF!+#REF!+#REF!+#REF!+FK71+FK383+#REF!+#REF!</f>
        <v>#REF!</v>
      </c>
      <c r="FL417" s="46"/>
      <c r="FM417" s="19" t="e">
        <f>+#REF!+FM397+FM383+#REF!+#REF!+#REF!+#REF!+#REF!+FM359+#REF!+#REF!+#REF!+FM325+FM322+#REF!+#REF!+#REF!+#REF!+#REF!+#REF!+FM290+#REF!+FM287+FM285+#REF!+#REF!+FM282+FM269+FM266+#REF!+#REF!+FM254+#REF!+FM239+#REF!+#REF!+FM199+#REF!+FM197+FM195+#REF!+#REF!+FM156+#REF!+#REF!+#REF!+#REF!+#REF!+#REF!+#REF!+FM71+#REF!+#REF!+#REF!+#REF!+FM52+FM50+#REF!+#REF!+#REF!+#REF!+FM30+#REF!+#REF!+FM28+#REF!+FM26+#REF!+#REF!</f>
        <v>#REF!</v>
      </c>
      <c r="FN417" s="19" t="e">
        <f>+#REF!+FN397+FN383+#REF!+#REF!+#REF!+#REF!+#REF!+FN359+#REF!+#REF!+#REF!+FN325+FN322+#REF!+#REF!+#REF!+#REF!+#REF!+#REF!+FN290+#REF!+FN287+FN285+#REF!+#REF!+FN282+FN269+FN266+#REF!+#REF!+FN254+#REF!+FN239+#REF!+#REF!+FN199+#REF!+FN197+FN195+#REF!+#REF!+FN156+#REF!+#REF!+#REF!+#REF!+#REF!+#REF!+#REF!+FN71+#REF!+#REF!+#REF!+#REF!+FN52+FN50+#REF!+#REF!+#REF!+#REF!+FN30+#REF!+#REF!+FN28+#REF!+FN26+#REF!+#REF!</f>
        <v>#REF!</v>
      </c>
      <c r="FO417" s="39">
        <f>+EF417</f>
        <v>0</v>
      </c>
      <c r="FP417" s="39"/>
      <c r="FQ417" s="22"/>
      <c r="FR417" s="39">
        <f t="shared" si="1625"/>
        <v>0</v>
      </c>
      <c r="FS417" s="39"/>
      <c r="FT417" s="22">
        <f t="shared" si="1626"/>
        <v>0</v>
      </c>
      <c r="FU417" s="40"/>
      <c r="FV417" s="79" t="e">
        <f>+#REF!+FV397+FV383+#REF!+#REF!+#REF!+#REF!+#REF!+FV359+#REF!+#REF!+#REF!+FV325+FV322+#REF!+#REF!+#REF!+#REF!+#REF!+#REF!+FV290+#REF!+FV287+FV285+#REF!+#REF!+FV282+FV269+FV266+#REF!+#REF!+FV254+#REF!+FV239+#REF!+#REF!+FV199+#REF!+FV197+FV195+#REF!+#REF!+FV156+#REF!+#REF!+#REF!+#REF!+#REF!+#REF!+#REF!+FV71+#REF!+#REF!+#REF!+#REF!+FV52+FV50+#REF!+#REF!+#REF!+#REF!+FV30+#REF!+#REF!+FV28+#REF!+FV26+#REF!+#REF!</f>
        <v>#REF!</v>
      </c>
      <c r="FW417" s="79" t="e">
        <f>+#REF!+FW397+FW383+#REF!+#REF!+#REF!+#REF!+#REF!+FW359+#REF!+#REF!+#REF!+FW325+FW322+#REF!+#REF!+#REF!+#REF!+#REF!+#REF!+FW290+#REF!+FW287+FW285+#REF!+#REF!+FW282+FW269+FW266+#REF!+#REF!+FW254+#REF!+FW239+#REF!+#REF!+FW199+#REF!+FW197+FW195+#REF!+#REF!+FW156+#REF!+#REF!+#REF!+#REF!+#REF!+#REF!+#REF!+FW71+#REF!+#REF!+#REF!+#REF!+FW52+FW50+#REF!+#REF!+#REF!+#REF!+FW30+#REF!+#REF!+FW28+#REF!+FW26+#REF!+#REF!</f>
        <v>#REF!</v>
      </c>
      <c r="FX417" s="19" t="e">
        <f t="shared" si="1629"/>
        <v>#REF!</v>
      </c>
      <c r="FY417" s="19" t="e">
        <f>+#REF!+FY397+FY383+#REF!+#REF!+#REF!+#REF!+#REF!+FY359+#REF!+#REF!+#REF!+FY325+FY322+#REF!+#REF!+#REF!+#REF!+#REF!+#REF!+FY290+#REF!+FY287+FY285+#REF!+#REF!+FY282+FY269+FY266+#REF!+#REF!+FY254+#REF!+FY239+#REF!+#REF!+FY199+#REF!+FY197+FY195+#REF!+#REF!+FY156+#REF!+#REF!+#REF!+#REF!+#REF!+#REF!+#REF!+FY71+#REF!+#REF!+#REF!+#REF!+FY52+FY50+#REF!+#REF!+#REF!+#REF!+FY30+#REF!+#REF!+FY28+#REF!+FY26+#REF!+#REF!</f>
        <v>#REF!</v>
      </c>
      <c r="FZ417" s="19" t="e">
        <f>+#REF!+FZ397+FZ383+#REF!+#REF!+#REF!+#REF!+#REF!+FZ359+#REF!+#REF!+#REF!+FZ325+FZ322+#REF!+#REF!+#REF!+#REF!+#REF!+#REF!+FZ290+#REF!+FZ287+FZ285+#REF!+#REF!+FZ282+FZ269+FZ266+#REF!+#REF!+FZ254+#REF!+FZ239+#REF!+#REF!+FZ199+#REF!+FZ197+FZ195+#REF!+#REF!+FZ156+#REF!+#REF!+#REF!+#REF!+#REF!+#REF!+#REF!+FZ71+#REF!+#REF!+#REF!+#REF!+FZ52+FZ50+#REF!+#REF!+#REF!+#REF!+FZ30+#REF!+#REF!+FZ28+#REF!+FZ26+#REF!+#REF!</f>
        <v>#REF!</v>
      </c>
      <c r="GA417" s="19" t="e">
        <f>+#REF!+GA397+GA383+#REF!+#REF!+#REF!+#REF!+#REF!+GA359+#REF!+#REF!+#REF!+GA325+GA322+#REF!+#REF!+#REF!+#REF!+#REF!+#REF!+GA290+#REF!+GA287+GA285+#REF!+#REF!+GA282+GA269+GA266+#REF!+#REF!+GA254+#REF!+GA239+#REF!+#REF!+GA199+#REF!+GA197+GA195+#REF!+#REF!+GA156+#REF!+#REF!+#REF!+#REF!+#REF!+#REF!+#REF!+GA71+#REF!+#REF!+#REF!+#REF!+GA52+GA50+#REF!+#REF!+#REF!+#REF!+GA30+#REF!+#REF!+GA28+#REF!+GA26+#REF!+#REF!</f>
        <v>#REF!</v>
      </c>
      <c r="GB417" s="19" t="e">
        <f>+#REF!+GB397+GB383+#REF!+#REF!+#REF!+#REF!+#REF!+GB359+#REF!+#REF!+#REF!+GB325+GB322+#REF!+#REF!+#REF!+#REF!+#REF!+#REF!+GB290+#REF!+GB287+GB285+#REF!+#REF!+GB282+GB269+GB266+#REF!+#REF!+GB254+#REF!+GB239+#REF!+#REF!+GB199+#REF!+GB197+GB195+#REF!+#REF!+GB156+#REF!+#REF!+#REF!+#REF!+#REF!+#REF!+#REF!+GB71+#REF!+#REF!+#REF!+#REF!+GB52+GB50+#REF!+#REF!+#REF!+#REF!+GB30+#REF!+#REF!+GB28+#REF!+GB26+#REF!+#REF!</f>
        <v>#REF!</v>
      </c>
      <c r="GC417" s="20" t="e">
        <f t="shared" si="1632"/>
        <v>#REF!</v>
      </c>
      <c r="GD417" s="20" t="e">
        <f t="shared" si="1633"/>
        <v>#REF!</v>
      </c>
      <c r="GE417" s="21" t="e">
        <f>+#REF!+GE397+GE383+#REF!+#REF!+#REF!+#REF!+#REF!+GE359+#REF!+#REF!+#REF!+GE325+GE322+#REF!+#REF!+#REF!+#REF!+#REF!+#REF!+GE290+#REF!+GE287+GE285+#REF!+#REF!+GE282+GE269+GE266+#REF!+#REF!+GE254+#REF!+GE239+#REF!+#REF!+GE199+#REF!+GE197+GE195+#REF!+#REF!+GE156+#REF!+#REF!+#REF!+#REF!+#REF!+#REF!+#REF!+GE71+#REF!+#REF!+#REF!+#REF!+GE52+GE50+#REF!+#REF!+#REF!+#REF!+GE30+#REF!+#REF!+GE28+#REF!+GE26+#REF!+#REF!</f>
        <v>#REF!</v>
      </c>
      <c r="GF417" s="21" t="e">
        <f>+#REF!+GF397+GF383+#REF!+#REF!+#REF!+#REF!+#REF!+GF359+#REF!+#REF!+#REF!+GF325+GF322+#REF!+#REF!+#REF!+#REF!+#REF!+#REF!+GF290+#REF!+GF287+GF285+#REF!+#REF!+GF282+GF269+GF266+#REF!+#REF!+GF254+#REF!+GF239+#REF!+#REF!+GF199+#REF!+GF197+GF195+#REF!+#REF!+GF156+#REF!+#REF!+#REF!+#REF!+#REF!+#REF!+#REF!+GF71+#REF!+#REF!+#REF!+#REF!+GF52+GF50+#REF!+#REF!+#REF!+#REF!+GF30+#REF!+#REF!+GF28+#REF!+GF26+#REF!+#REF!</f>
        <v>#REF!</v>
      </c>
      <c r="GG417" s="48" t="e">
        <f t="shared" si="1653"/>
        <v>#REF!</v>
      </c>
      <c r="GH417" s="48" t="e">
        <f t="shared" si="1653"/>
        <v>#REF!</v>
      </c>
      <c r="GI417" s="21" t="e">
        <f>+#REF!+GI397+GI383+#REF!+#REF!+#REF!+#REF!+#REF!+GI359+#REF!+#REF!+#REF!+GI325+GI322+#REF!+#REF!+#REF!+#REF!+#REF!+#REF!+GI290+#REF!+GI287+GI285+#REF!+#REF!+GI282+GI269+GI266+#REF!+#REF!+GI254+#REF!+GI239+#REF!+#REF!+GI199+#REF!+GI197+GI195+#REF!+#REF!+GI156+#REF!+#REF!+#REF!+#REF!+#REF!+#REF!+#REF!+GI71+#REF!+#REF!+#REF!+#REF!+GI52+GI50+#REF!+#REF!+#REF!+#REF!+GI30+#REF!+#REF!+GI28+#REF!+GI26+#REF!+#REF!</f>
        <v>#REF!</v>
      </c>
      <c r="GJ417" s="21" t="e">
        <f>+#REF!+GJ397+GJ383+#REF!+#REF!+#REF!+#REF!+#REF!+GJ359+#REF!+#REF!+#REF!+GJ325+GJ322+#REF!+#REF!+#REF!+#REF!+#REF!+#REF!+GJ290+#REF!+GJ287+GJ285+#REF!+#REF!+GJ282+GJ269+GJ266+#REF!+#REF!+GJ254+#REF!+GJ239+#REF!+#REF!+GJ199+#REF!+GJ197+GJ195+#REF!+#REF!+GJ156+#REF!+#REF!+#REF!+#REF!+#REF!+#REF!+#REF!+GJ71+#REF!+#REF!+#REF!+#REF!+GJ52+GJ50+#REF!+#REF!+#REF!+#REF!+GJ30+#REF!+#REF!+GJ28+#REF!+GJ26+#REF!+#REF!</f>
        <v>#REF!</v>
      </c>
      <c r="GK417" s="48" t="e">
        <f t="shared" si="1654"/>
        <v>#REF!</v>
      </c>
      <c r="GL417" s="48" t="e">
        <f t="shared" si="1654"/>
        <v>#REF!</v>
      </c>
      <c r="GM417" s="19" t="e">
        <f>+#REF!+#REF!+GM26+#REF!+GM28+#REF!+GM30+#REF!+#REF!+#REF!+#REF!+#REF!+GM36+#REF!+GM50+GM52+#REF!+#REF!+#REF!+#REF!+#REF!+#REF!+#REF!+#REF!+#REF!+#REF!+#REF!+#REF!+GM71+GM73+#REF!+#REF!+#REF!+GM83+#REF!+GM98+#REF!+GM114+#REF!+GM123+#REF!+GM135+#REF!+#REF!+GM156+#REF!+#REF!+GM172+#REF!+GM195+GM197+#REF!+GM199+#REF!+#REF!+GM217+GM239+#REF!+GM243+GM254+#REF!+#REF!+#REF!+#REF!+GM266+GM269+#REF!+GM282+#REF!+#REF!+GM285+GM287+#REF!+GM290+#REF!+#REF!+#REF!+#REF!+GM296+#REF!+#REF!+#REF!+#REF!+#REF!+GM310+#REF!+GM322+GM325+#REF!+GM328+GM330+#REF!+#REF!+#REF!+GM359+#REF!+#REF!+GM372+#REF!+#REF!+#REF!+#REF!+GM383+GM397+#REF!+GM405</f>
        <v>#REF!</v>
      </c>
      <c r="GN417" s="19" t="e">
        <f>+#REF!+#REF!+GN26+#REF!+GN28+#REF!+GN30+#REF!+#REF!+#REF!+#REF!+#REF!+GN36+#REF!+GN50+GN52+#REF!+#REF!+#REF!+#REF!+#REF!+#REF!+#REF!+#REF!+#REF!+#REF!+#REF!+#REF!+GN71+GN73+#REF!+#REF!+#REF!+GN83+#REF!+GN98+#REF!+GN114+#REF!+GN123+#REF!+GN135+#REF!+#REF!+GN156+#REF!+#REF!+GN172+#REF!+GN195+GN197+#REF!+GN199+#REF!+#REF!+GN217+GN239+#REF!+GN243+GN254+#REF!+#REF!+#REF!+#REF!+GN266+GN269+#REF!+GN282+#REF!+#REF!+GN285+GN287+#REF!+GN290+#REF!+#REF!+#REF!+#REF!+GN296+#REF!+#REF!+#REF!+#REF!+#REF!+GN310+#REF!+GN322+GN325+#REF!+GN328+GN330+#REF!+#REF!+#REF!+GN359+#REF!+#REF!+GN372+#REF!+#REF!+#REF!+#REF!+GN383+GN397+#REF!+GN405</f>
        <v>#REF!</v>
      </c>
      <c r="GO417" s="95" t="s">
        <v>527</v>
      </c>
      <c r="GP417" s="46" t="s">
        <v>528</v>
      </c>
      <c r="GQ417" s="22"/>
      <c r="GR417" s="39"/>
      <c r="GS417" s="39"/>
      <c r="GT417" s="22"/>
      <c r="GU417" s="43"/>
      <c r="GV417" s="79" t="e">
        <f>+#REF!+#REF!+GV26+#REF!+GV28+#REF!+GV30+#REF!+#REF!+#REF!+#REF!+#REF!+GV36+#REF!+GV50+GV52+#REF!+#REF!+#REF!+#REF!+#REF!+#REF!+#REF!+#REF!+#REF!+#REF!+#REF!+#REF!+GV71+GV73+#REF!+#REF!+#REF!+GV83+#REF!+GV98+#REF!+GV114+#REF!+GV123+#REF!+GV135+#REF!+#REF!+GV156+#REF!+#REF!+GV172+#REF!+GV195+GV197+#REF!+GV199+#REF!+#REF!+GV217+GV239+#REF!+GV243+GV254+#REF!+#REF!+#REF!+#REF!+GV266+GV269+#REF!+GV282+#REF!+#REF!+GV285+GV287+#REF!+GV290+#REF!+#REF!+#REF!+#REF!+GV296+#REF!+#REF!+#REF!+#REF!+#REF!+GV310+#REF!+GV322+GV325+#REF!+GV328+GV330+#REF!+#REF!+#REF!+GV359+#REF!+#REF!+GV372+#REF!+#REF!+#REF!+#REF!+GV383+GV397+#REF!+GV405</f>
        <v>#REF!</v>
      </c>
      <c r="GW417" s="79" t="e">
        <f>+#REF!+#REF!+GW26+#REF!+GW28+#REF!+GW30+#REF!+#REF!+#REF!+#REF!+#REF!+GW36+#REF!+GW50+GW52+#REF!+#REF!+#REF!+#REF!+#REF!+#REF!+#REF!+#REF!+#REF!+#REF!+#REF!+#REF!+GW71+GW73+#REF!+#REF!+#REF!+GW83+#REF!+GW98+#REF!+GW114+#REF!+GW123+#REF!+GW135+#REF!+#REF!+GW156+#REF!+#REF!+GW172+#REF!+GW195+GW197+#REF!+GW199+#REF!+#REF!+GW217+GW239+#REF!+GW243+GW254+#REF!+#REF!+#REF!+#REF!+GW266+GW269+#REF!+GW282+#REF!+#REF!+GW285+GW287+#REF!+GW290+#REF!+#REF!+#REF!+#REF!+GW296+#REF!+#REF!+#REF!+#REF!+#REF!+GW310+#REF!+GW322+GW325+#REF!+GW328+GW330+#REF!+#REF!+#REF!+GW359+#REF!+#REF!+GW372+#REF!+#REF!+#REF!+#REF!+GW383+GW397+#REF!+GW405</f>
        <v>#REF!</v>
      </c>
      <c r="GX417" s="79" t="e">
        <f>+#REF!+#REF!+GX26+#REF!+GX28+#REF!+GX30+#REF!+#REF!+#REF!+#REF!+#REF!+GX36+#REF!+GX50+GX52+#REF!+#REF!+#REF!+#REF!+#REF!+#REF!+#REF!+#REF!+#REF!+#REF!+#REF!+#REF!+GX71+GX73+#REF!+#REF!+#REF!+GX83+#REF!+GX98+#REF!+GX114+#REF!+GX123+#REF!+GX135+#REF!+#REF!+GX156+#REF!+#REF!+GX172+#REF!+GX195+GX197+#REF!+GX199+#REF!+#REF!+GX217+GX239+#REF!+GX243+GX254+#REF!+#REF!+#REF!+#REF!+GX266+GX269+#REF!+GX282+#REF!+#REF!+GX285+GX287+#REF!+GX290+#REF!+#REF!+#REF!+#REF!+GX296+#REF!+#REF!+#REF!+#REF!+#REF!+GX310+#REF!+GX322+GX325+#REF!+GX328+GX330+#REF!+#REF!+#REF!+GX359+#REF!+#REF!+GX372+#REF!+#REF!+#REF!+#REF!+GX383+GX397+#REF!+GX405</f>
        <v>#REF!</v>
      </c>
      <c r="GY417" s="79" t="e">
        <f>+#REF!+#REF!+GY26+#REF!+GY28+#REF!+GY30+#REF!+#REF!+#REF!+#REF!+#REF!+GY36+#REF!+GY50+GY52+#REF!+#REF!+#REF!+#REF!+#REF!+#REF!+#REF!+#REF!+#REF!+#REF!+#REF!+#REF!+GY71+GY73+#REF!+#REF!+#REF!+GY83+#REF!+GY98+#REF!+GY114+#REF!+GY123+#REF!+GY135+#REF!+#REF!+GY156+#REF!+#REF!+GY172+#REF!+GY195+GY197+#REF!+GY199+#REF!+#REF!+GY217+GY239+#REF!+GY243+GY254+#REF!+#REF!+#REF!+#REF!+GY266+GY269+#REF!+GY282+#REF!+#REF!+GY285+GY287+#REF!+GY290+#REF!+#REF!+#REF!+#REF!+GY296+#REF!+#REF!+#REF!+#REF!+#REF!+GY310+#REF!+GY322+GY325+#REF!+GY328+GY330+#REF!+#REF!+#REF!+GY359+#REF!+#REF!+GY372+#REF!+#REF!+#REF!+#REF!+GY383+GY397+#REF!+GY405</f>
        <v>#REF!</v>
      </c>
      <c r="GZ417" s="21" t="e">
        <f t="shared" si="1640"/>
        <v>#REF!</v>
      </c>
      <c r="HA417" s="39"/>
      <c r="HB417" s="39"/>
      <c r="HC417" s="22"/>
      <c r="HD417" s="39"/>
      <c r="HE417" s="39"/>
      <c r="HF417" s="22">
        <f t="shared" si="1651"/>
        <v>0</v>
      </c>
      <c r="HG417" s="233"/>
    </row>
    <row r="418" spans="1:215" s="14" customFormat="1" ht="16.5" hidden="1" thickBot="1">
      <c r="A418" s="1"/>
      <c r="B418" s="7"/>
      <c r="C418" s="199" t="s">
        <v>148</v>
      </c>
      <c r="D418" s="203"/>
      <c r="E418" s="76"/>
      <c r="F418" s="76"/>
      <c r="G418" s="76"/>
      <c r="H418" s="76"/>
      <c r="I418" s="76"/>
      <c r="J418" s="76"/>
      <c r="K418" s="76"/>
      <c r="L418" s="76"/>
      <c r="M418" s="204"/>
      <c r="N418" s="74"/>
      <c r="O418" s="74"/>
      <c r="P418" s="74"/>
      <c r="Q418" s="74"/>
      <c r="R418" s="74"/>
      <c r="S418" s="74"/>
      <c r="T418" s="74"/>
      <c r="U418" s="74"/>
      <c r="V418" s="39"/>
      <c r="W418" s="39"/>
      <c r="X418" s="22"/>
      <c r="Y418" s="39"/>
      <c r="Z418" s="79"/>
      <c r="AA418" s="39"/>
      <c r="AB418" s="79"/>
      <c r="AC418" s="19"/>
      <c r="AD418" s="19"/>
      <c r="AE418" s="50"/>
      <c r="AF418" s="19"/>
      <c r="AG418" s="19"/>
      <c r="AH418" s="39"/>
      <c r="AI418" s="39"/>
      <c r="AJ418" s="39"/>
      <c r="AK418" s="39"/>
      <c r="AL418" s="22"/>
      <c r="AM418" s="39"/>
      <c r="AN418" s="39"/>
      <c r="AO418" s="39"/>
      <c r="AP418" s="39"/>
      <c r="AQ418" s="39"/>
      <c r="AR418" s="39"/>
      <c r="AS418" s="50"/>
      <c r="AT418" s="39"/>
      <c r="AU418" s="39"/>
      <c r="AV418" s="77"/>
      <c r="AW418" s="77"/>
      <c r="AX418" s="78"/>
      <c r="AY418" s="171" t="e">
        <f>+AY412+AY415+AY416+AY417</f>
        <v>#REF!</v>
      </c>
      <c r="AZ418" s="171" t="e">
        <f>+AZ412+AZ415+AZ416+AZ417</f>
        <v>#REF!</v>
      </c>
      <c r="BA418" s="171" t="e">
        <f>+BA412+BA415+BA416+BA417</f>
        <v>#REF!</v>
      </c>
      <c r="BB418" s="171" t="e">
        <f>+BB412+BB415+BB416+BB417</f>
        <v>#REF!</v>
      </c>
      <c r="BC418" s="39"/>
      <c r="BD418" s="39"/>
      <c r="BE418" s="22"/>
      <c r="BF418" s="39"/>
      <c r="BG418" s="39"/>
      <c r="BH418" s="22"/>
      <c r="BI418" s="22"/>
      <c r="BJ418" s="40"/>
      <c r="BK418" s="74"/>
      <c r="BL418" s="74"/>
      <c r="BM418" s="74"/>
      <c r="BN418" s="74"/>
      <c r="BO418" s="74"/>
      <c r="BP418" s="74"/>
      <c r="BQ418" s="74"/>
      <c r="BR418" s="74"/>
      <c r="BS418" s="74"/>
      <c r="BT418" s="74"/>
      <c r="BU418" s="74"/>
      <c r="BV418" s="74"/>
      <c r="BW418" s="74"/>
      <c r="BX418" s="74"/>
      <c r="BY418" s="74"/>
      <c r="BZ418" s="74"/>
      <c r="CA418" s="74"/>
      <c r="CB418" s="74"/>
      <c r="CC418" s="74"/>
      <c r="CD418" s="74"/>
      <c r="CE418" s="19"/>
      <c r="CF418" s="19"/>
      <c r="CG418" s="19"/>
      <c r="CH418" s="19"/>
      <c r="CI418" s="19"/>
      <c r="CJ418" s="19"/>
      <c r="CK418" s="19"/>
      <c r="CL418" s="19"/>
      <c r="CM418" s="19"/>
      <c r="CN418" s="48"/>
      <c r="CO418" s="19"/>
      <c r="CP418" s="19"/>
      <c r="CQ418" s="19"/>
      <c r="CR418" s="19"/>
      <c r="CS418" s="19"/>
      <c r="CT418" s="19"/>
      <c r="CU418" s="48"/>
      <c r="CV418" s="48"/>
      <c r="CW418" s="74"/>
      <c r="CX418" s="74"/>
      <c r="CY418" s="74"/>
      <c r="CZ418" s="74"/>
      <c r="DA418" s="20"/>
      <c r="DB418" s="20"/>
      <c r="DC418" s="51"/>
      <c r="DD418" s="51"/>
      <c r="DE418" s="74"/>
      <c r="DF418" s="74"/>
      <c r="DG418" s="74"/>
      <c r="DH418" s="74"/>
      <c r="DI418" s="39"/>
      <c r="DJ418" s="74"/>
      <c r="DK418" s="74"/>
      <c r="DL418" s="74"/>
      <c r="DM418" s="48"/>
      <c r="DN418" s="39"/>
      <c r="DO418" s="39"/>
      <c r="DP418" s="39"/>
      <c r="DQ418" s="39"/>
      <c r="DR418" s="39"/>
      <c r="DS418" s="39"/>
      <c r="DT418" s="39"/>
      <c r="DU418" s="39"/>
      <c r="DV418" s="171" t="e">
        <f>+DV412+DV415+DV416+DV417</f>
        <v>#REF!</v>
      </c>
      <c r="DW418" s="171" t="e">
        <f>+DW412+DW415+DW416+DW417</f>
        <v>#REF!</v>
      </c>
      <c r="DX418" s="20">
        <f>+'[1]тарифы (НВВ) население на 4,2%'!CO560</f>
        <v>77.222098075986935</v>
      </c>
      <c r="DY418" s="20" t="e">
        <f>+IF(DW418=0,,DV418/DW418*100)</f>
        <v>#REF!</v>
      </c>
      <c r="DZ418" s="19" t="e">
        <f>+DZ412+DZ415+DZ416+DZ417</f>
        <v>#REF!</v>
      </c>
      <c r="EA418" s="19" t="e">
        <f>+EA417+EA416+EA415+EA412</f>
        <v>#REF!</v>
      </c>
      <c r="EB418" s="19"/>
      <c r="EC418" s="171" t="e">
        <f>+EC412+EC415+EC416+EC417</f>
        <v>#REF!</v>
      </c>
      <c r="ED418" s="171" t="e">
        <f t="shared" ref="ED418" si="1659">+ED412+ED415+ED416+ED417</f>
        <v>#REF!</v>
      </c>
      <c r="EE418" s="39"/>
      <c r="EF418" s="39"/>
      <c r="EG418" s="22">
        <f t="shared" si="1494"/>
        <v>0</v>
      </c>
      <c r="EH418" s="39"/>
      <c r="EI418" s="39"/>
      <c r="EJ418" s="22">
        <f t="shared" si="1495"/>
        <v>0</v>
      </c>
      <c r="EK418" s="40"/>
      <c r="EL418" s="83" t="e">
        <f>+EL412+EL415+EL416+EL417</f>
        <v>#REF!</v>
      </c>
      <c r="EM418" s="83" t="e">
        <f t="shared" ref="EM418:EO418" si="1660">+EM412+EM415+EM416+EM417</f>
        <v>#REF!</v>
      </c>
      <c r="EN418" s="205" t="e">
        <f t="shared" si="1660"/>
        <v>#REF!</v>
      </c>
      <c r="EO418" s="205" t="e">
        <f t="shared" si="1660"/>
        <v>#REF!</v>
      </c>
      <c r="EP418" s="205"/>
      <c r="EQ418" s="21" t="e">
        <f t="shared" si="1623"/>
        <v>#REF!</v>
      </c>
      <c r="ER418" s="21"/>
      <c r="ES418" s="21" t="e">
        <f>+ES412+ES415+ES416+ES417</f>
        <v>#REF!</v>
      </c>
      <c r="ET418" s="19" t="e">
        <f t="shared" si="1656"/>
        <v>#REF!</v>
      </c>
      <c r="EU418" s="83" t="e">
        <f>+EU412+EU415+EU416+EU417</f>
        <v>#REF!</v>
      </c>
      <c r="EV418" s="48" t="e">
        <f t="shared" si="1657"/>
        <v>#REF!</v>
      </c>
      <c r="EW418" s="39"/>
      <c r="EX418" s="39" t="e">
        <f>+EX412+EX415+EX416+EX417</f>
        <v>#REF!</v>
      </c>
      <c r="EY418" s="39" t="e">
        <f>+EY412+EY415+EY416+EY417</f>
        <v>#REF!</v>
      </c>
      <c r="EZ418" s="39"/>
      <c r="FA418" s="39"/>
      <c r="FB418" s="39" t="e">
        <f>+EX418/AY418</f>
        <v>#REF!</v>
      </c>
      <c r="FC418" s="39" t="e">
        <f>+EY418/AY418</f>
        <v>#REF!</v>
      </c>
      <c r="FD418" s="202" t="e">
        <f>+FC418/FB418</f>
        <v>#REF!</v>
      </c>
      <c r="FE418" s="39"/>
      <c r="FF418" s="39" t="e">
        <f>+EL418/AY418*100-100</f>
        <v>#REF!</v>
      </c>
      <c r="FG418" s="39"/>
      <c r="FH418" s="39"/>
      <c r="FI418" s="39"/>
      <c r="FJ418" s="51" t="e">
        <f t="shared" ref="FJ418:FK418" si="1661">+FJ412+FJ415+FJ416+FJ417</f>
        <v>#REF!</v>
      </c>
      <c r="FK418" s="51" t="e">
        <f t="shared" si="1661"/>
        <v>#REF!</v>
      </c>
      <c r="FL418" s="46"/>
      <c r="FM418" s="83" t="e">
        <f>+FM412+FM415+FM416+FM417+FM413</f>
        <v>#REF!</v>
      </c>
      <c r="FN418" s="83" t="e">
        <f>+FN412+FN415+FN416+FN417+FN413</f>
        <v>#REF!</v>
      </c>
      <c r="FO418" s="39">
        <f t="shared" si="1624"/>
        <v>0</v>
      </c>
      <c r="FP418" s="39"/>
      <c r="FQ418" s="22"/>
      <c r="FR418" s="39">
        <f t="shared" si="1625"/>
        <v>0</v>
      </c>
      <c r="FS418" s="39"/>
      <c r="FT418" s="22">
        <f t="shared" si="1626"/>
        <v>0</v>
      </c>
      <c r="FU418" s="40"/>
      <c r="FV418" s="51" t="e">
        <f>+FV412+FV415+FV416+FV417+FV413</f>
        <v>#REF!</v>
      </c>
      <c r="FW418" s="51" t="e">
        <f>+FW412+FW415+FW416+FW417+FW413</f>
        <v>#REF!</v>
      </c>
      <c r="FX418" s="165" t="e">
        <f t="shared" si="1629"/>
        <v>#REF!</v>
      </c>
      <c r="FY418" s="19" t="e">
        <f>+FY412+FY415+FY416+FY417+FY413</f>
        <v>#REF!</v>
      </c>
      <c r="FZ418" s="19" t="e">
        <f>+FZ412+FZ415+FZ416+FZ417+FZ413</f>
        <v>#REF!</v>
      </c>
      <c r="GA418" s="19" t="e">
        <f>+GA412+GA415+GA416+GA417+GA413</f>
        <v>#REF!</v>
      </c>
      <c r="GB418" s="19" t="e">
        <f>+GB412+GB415+GB416+GB417+GB413</f>
        <v>#REF!</v>
      </c>
      <c r="GC418" s="20" t="e">
        <f t="shared" si="1632"/>
        <v>#REF!</v>
      </c>
      <c r="GD418" s="20" t="e">
        <f t="shared" si="1633"/>
        <v>#REF!</v>
      </c>
      <c r="GE418" s="21" t="e">
        <f>+GE412+GE415+GE416+GE417+GE413</f>
        <v>#REF!</v>
      </c>
      <c r="GF418" s="21" t="e">
        <f>+GF412+GF415+GF416+GF417+GF413</f>
        <v>#REF!</v>
      </c>
      <c r="GG418" s="48" t="e">
        <f t="shared" si="1653"/>
        <v>#REF!</v>
      </c>
      <c r="GH418" s="48" t="e">
        <f t="shared" si="1653"/>
        <v>#REF!</v>
      </c>
      <c r="GI418" s="21" t="e">
        <f>+GI412+GI415+GI416+GI417+GI413</f>
        <v>#REF!</v>
      </c>
      <c r="GJ418" s="21" t="e">
        <f>+GJ412+GJ415+GJ416+GJ417+GJ413</f>
        <v>#REF!</v>
      </c>
      <c r="GK418" s="48" t="e">
        <f t="shared" si="1654"/>
        <v>#REF!</v>
      </c>
      <c r="GL418" s="48" t="e">
        <f t="shared" si="1654"/>
        <v>#REF!</v>
      </c>
      <c r="GM418" s="83" t="e">
        <f>+GM412+GM413+GM414+GM415+GM416+GM417</f>
        <v>#REF!</v>
      </c>
      <c r="GN418" s="83" t="e">
        <f>+GN412+GN413+GN414+GN415+GN416+GN417</f>
        <v>#REF!</v>
      </c>
      <c r="GO418" s="166" t="e">
        <f>+GL418/GH418*100</f>
        <v>#REF!</v>
      </c>
      <c r="GP418" s="166" t="e">
        <f>+GK418/GG418*100</f>
        <v>#REF!</v>
      </c>
      <c r="GQ418" s="22"/>
      <c r="GR418" s="39"/>
      <c r="GS418" s="39"/>
      <c r="GT418" s="22"/>
      <c r="GU418" s="43"/>
      <c r="GV418" s="51" t="e">
        <f>+GV412+GV413+GV414+GV415+GV416+GV417</f>
        <v>#REF!</v>
      </c>
      <c r="GW418" s="51" t="e">
        <f>+GW412+GW413+GW414+GW415+GW416+GW417</f>
        <v>#REF!</v>
      </c>
      <c r="GX418" s="51" t="e">
        <f>+GX412+GX413+GX414+GX415+GX416+GX417</f>
        <v>#REF!</v>
      </c>
      <c r="GY418" s="51" t="e">
        <f>+GY412+GY413+GY414+GY415+GY416+GY417</f>
        <v>#REF!</v>
      </c>
      <c r="GZ418" s="20" t="e">
        <f t="shared" si="1640"/>
        <v>#REF!</v>
      </c>
      <c r="HA418" s="39"/>
      <c r="HB418" s="39"/>
      <c r="HC418" s="22"/>
      <c r="HD418" s="39"/>
      <c r="HE418" s="39"/>
      <c r="HF418" s="22">
        <f t="shared" si="1651"/>
        <v>0</v>
      </c>
      <c r="HG418" s="233"/>
    </row>
    <row r="419" spans="1:215" s="14" customFormat="1" ht="17.45" hidden="1" customHeight="1" thickBot="1">
      <c r="A419" s="1"/>
      <c r="B419" s="7"/>
      <c r="C419" s="199" t="s">
        <v>148</v>
      </c>
      <c r="D419" s="200" t="e">
        <f>+#REF!+#REF!+#REF!+#REF!+#REF!+#REF!+#REF!+#REF!+D228+D227+D226+#REF!+#REF!+#REF!+#REF!+#REF!+#REF!+#REF!+#REF!+#REF!+#REF!+#REF!+#REF!+#REF!</f>
        <v>#REF!</v>
      </c>
      <c r="E419" s="73" t="e">
        <f>+#REF!+#REF!+#REF!+#REF!+#REF!+#REF!+#REF!+#REF!+E228+E227+E226+#REF!+#REF!+#REF!+#REF!+#REF!+#REF!+#REF!+#REF!+#REF!+#REF!+#REF!+#REF!+#REF!</f>
        <v>#REF!</v>
      </c>
      <c r="F419" s="73" t="e">
        <f>+#REF!+#REF!+#REF!+#REF!+#REF!+#REF!+#REF!+#REF!+F228+F227+F226+#REF!+#REF!+#REF!+#REF!+#REF!+#REF!+#REF!+#REF!+#REF!+#REF!+#REF!+#REF!+#REF!</f>
        <v>#REF!</v>
      </c>
      <c r="G419" s="73" t="e">
        <f>+#REF!+#REF!+#REF!+#REF!+#REF!+#REF!+#REF!+#REF!+G228+G227+G226+#REF!+#REF!+#REF!+#REF!+#REF!+#REF!+#REF!+#REF!+#REF!+#REF!+#REF!+#REF!+#REF!</f>
        <v>#REF!</v>
      </c>
      <c r="H419" s="73" t="e">
        <f>+#REF!+#REF!+#REF!+#REF!+#REF!+#REF!+#REF!+#REF!+H228+H227+H226+#REF!+#REF!+#REF!+#REF!+#REF!+#REF!+#REF!+#REF!+#REF!+#REF!+#REF!+#REF!+#REF!</f>
        <v>#REF!</v>
      </c>
      <c r="I419" s="73" t="e">
        <f>+#REF!+#REF!+#REF!+#REF!+#REF!+#REF!+#REF!+#REF!+I228+I227+I226+#REF!+#REF!+#REF!+#REF!+#REF!+#REF!+#REF!+#REF!+#REF!+#REF!+#REF!+#REF!+#REF!</f>
        <v>#REF!</v>
      </c>
      <c r="J419" s="73" t="e">
        <f>+#REF!+#REF!+#REF!+#REF!+#REF!+#REF!+#REF!+#REF!+J228+J227+J226+#REF!+#REF!+#REF!+#REF!+#REF!+#REF!+#REF!+#REF!+#REF!+#REF!+#REF!+#REF!+#REF!</f>
        <v>#REF!</v>
      </c>
      <c r="K419" s="73" t="e">
        <f>+#REF!+#REF!+#REF!+#REF!+#REF!+#REF!+#REF!+#REF!+K228+K227+K226+#REF!+#REF!+#REF!+#REF!+#REF!+#REF!+#REF!+#REF!+#REF!+#REF!+#REF!+#REF!+#REF!</f>
        <v>#REF!</v>
      </c>
      <c r="L419" s="73" t="e">
        <f>+#REF!+#REF!+#REF!+#REF!+#REF!+#REF!+#REF!+#REF!+L228+L227+L226+#REF!+#REF!+#REF!+#REF!+#REF!+#REF!+#REF!+#REF!+#REF!+#REF!+#REF!+#REF!+#REF!</f>
        <v>#REF!</v>
      </c>
      <c r="M419" s="206" t="e">
        <f>+#REF!+#REF!+#REF!+#REF!+#REF!+#REF!+#REF!+#REF!+M228+M227+M226+#REF!+#REF!+#REF!+#REF!+#REF!+#REF!+#REF!+#REF!+#REF!+#REF!+#REF!+#REF!+#REF!</f>
        <v>#REF!</v>
      </c>
      <c r="N419" s="75" t="e">
        <f>+#REF!+#REF!+#REF!+#REF!+#REF!+#REF!+#REF!+#REF!+N228+N227+N226+#REF!+#REF!+#REF!+#REF!+#REF!+#REF!+#REF!+#REF!+#REF!+#REF!+#REF!+#REF!+#REF!</f>
        <v>#REF!</v>
      </c>
      <c r="O419" s="75" t="e">
        <f>+#REF!+#REF!+#REF!+#REF!+#REF!+#REF!+#REF!+#REF!+O228+O227+O226+#REF!+#REF!+#REF!+#REF!+#REF!+#REF!+#REF!+#REF!+#REF!+#REF!+#REF!+#REF!+#REF!</f>
        <v>#REF!</v>
      </c>
      <c r="P419" s="75" t="e">
        <f>+#REF!+#REF!+#REF!+#REF!+#REF!+#REF!+#REF!+#REF!+P228+P227+P226+#REF!+#REF!+#REF!+#REF!+#REF!+#REF!+#REF!+#REF!+#REF!+#REF!+#REF!+#REF!+#REF!</f>
        <v>#REF!</v>
      </c>
      <c r="Q419" s="75" t="e">
        <f>+#REF!+#REF!+#REF!+#REF!+#REF!+#REF!+#REF!+#REF!+Q228+Q227+Q226+#REF!+#REF!+#REF!+#REF!+#REF!+#REF!+#REF!+#REF!+#REF!+#REF!+#REF!+#REF!+#REF!</f>
        <v>#REF!</v>
      </c>
      <c r="R419" s="75" t="e">
        <f>+#REF!+#REF!+#REF!+#REF!+#REF!+#REF!+#REF!+#REF!+R228+R227+R226+#REF!+#REF!+#REF!+#REF!+#REF!+#REF!+#REF!+#REF!+#REF!+#REF!+#REF!+#REF!+#REF!</f>
        <v>#REF!</v>
      </c>
      <c r="S419" s="75" t="e">
        <f>+#REF!+#REF!+#REF!+#REF!+#REF!+#REF!+#REF!+#REF!+S228+S227+S226+#REF!+#REF!+#REF!+#REF!+#REF!+#REF!+#REF!+#REF!+#REF!+#REF!+#REF!+#REF!+#REF!</f>
        <v>#REF!</v>
      </c>
      <c r="T419" s="75"/>
      <c r="U419" s="75" t="e">
        <f>+#REF!+#REF!+#REF!+#REF!+#REF!+#REF!+#REF!+#REF!+U228+U227+U226+#REF!+#REF!+#REF!+#REF!+#REF!+#REF!+#REF!+#REF!+#REF!+#REF!+#REF!+#REF!+#REF!</f>
        <v>#REF!</v>
      </c>
      <c r="V419" s="39"/>
      <c r="W419" s="39"/>
      <c r="X419" s="22" t="e">
        <f>+BK419/D419*1000</f>
        <v>#REF!</v>
      </c>
      <c r="Y419" s="39"/>
      <c r="Z419" s="79" t="e">
        <f>+BO419/D419*1000</f>
        <v>#REF!</v>
      </c>
      <c r="AA419" s="39"/>
      <c r="AB419" s="79" t="e">
        <f>+BS419/D419*1000</f>
        <v>#REF!</v>
      </c>
      <c r="AC419" s="19"/>
      <c r="AD419" s="19"/>
      <c r="AE419" s="50"/>
      <c r="AF419" s="19"/>
      <c r="AG419" s="19"/>
      <c r="AH419" s="39"/>
      <c r="AI419" s="39"/>
      <c r="AJ419" s="39"/>
      <c r="AK419" s="39"/>
      <c r="AL419" s="22"/>
      <c r="AM419" s="39"/>
      <c r="AN419" s="39"/>
      <c r="AO419" s="39"/>
      <c r="AP419" s="39"/>
      <c r="AQ419" s="39"/>
      <c r="AR419" s="39"/>
      <c r="AS419" s="50"/>
      <c r="AT419" s="39"/>
      <c r="AU419" s="39"/>
      <c r="AV419" s="77"/>
      <c r="AW419" s="77"/>
      <c r="AX419" s="78"/>
      <c r="AY419" s="78"/>
      <c r="AZ419" s="78"/>
      <c r="BA419" s="78"/>
      <c r="BB419" s="78"/>
      <c r="BC419" s="39"/>
      <c r="BD419" s="39"/>
      <c r="BE419" s="22"/>
      <c r="BF419" s="39"/>
      <c r="BG419" s="39"/>
      <c r="BH419" s="22"/>
      <c r="BI419" s="22"/>
      <c r="BJ419" s="40"/>
      <c r="BK419" s="75" t="e">
        <f>+#REF!+#REF!+#REF!+#REF!+#REF!+#REF!+#REF!+#REF!+BK228+BK227+BK226+#REF!+#REF!+#REF!+#REF!+#REF!+#REF!+#REF!+#REF!+#REF!+#REF!+#REF!+#REF!+#REF!</f>
        <v>#REF!</v>
      </c>
      <c r="BL419" s="75" t="e">
        <f>+#REF!+#REF!+#REF!+#REF!+#REF!+#REF!+#REF!+#REF!+BL228+BL227+BL226+#REF!+#REF!+#REF!+#REF!+#REF!+#REF!+#REF!+#REF!+#REF!+#REF!+#REF!+#REF!+#REF!</f>
        <v>#REF!</v>
      </c>
      <c r="BM419" s="75" t="e">
        <f>+#REF!+#REF!+#REF!+#REF!+#REF!+#REF!+#REF!+#REF!+BM228+BM227+BM226+#REF!+#REF!+#REF!+#REF!+#REF!+#REF!+#REF!+#REF!+#REF!+#REF!+#REF!+#REF!+#REF!</f>
        <v>#REF!</v>
      </c>
      <c r="BN419" s="75" t="e">
        <f>+#REF!+#REF!+#REF!+#REF!+#REF!+#REF!+#REF!+#REF!+BN228+BN227+BN226+#REF!+#REF!+#REF!+#REF!+#REF!+#REF!+#REF!+#REF!+#REF!+#REF!+#REF!+#REF!+#REF!</f>
        <v>#REF!</v>
      </c>
      <c r="BO419" s="75" t="e">
        <f>+#REF!+#REF!+#REF!+#REF!+#REF!+#REF!+#REF!+#REF!+BO228+BO227+BO226+#REF!+#REF!+#REF!+#REF!+#REF!+#REF!+#REF!+#REF!+#REF!+#REF!+#REF!+#REF!+#REF!</f>
        <v>#REF!</v>
      </c>
      <c r="BP419" s="75" t="e">
        <f>+#REF!+#REF!+#REF!+#REF!+#REF!+#REF!+#REF!+#REF!+BP228+BP227+BP226+#REF!+#REF!+#REF!+#REF!+#REF!+#REF!+#REF!+#REF!+#REF!+#REF!+#REF!+#REF!+#REF!</f>
        <v>#REF!</v>
      </c>
      <c r="BQ419" s="75" t="e">
        <f>+#REF!+#REF!+#REF!+#REF!+#REF!+#REF!+#REF!+#REF!+BQ228+BQ227+BQ226+#REF!+#REF!+#REF!+#REF!+#REF!+#REF!+#REF!+#REF!+#REF!+#REF!+#REF!+#REF!+#REF!</f>
        <v>#REF!</v>
      </c>
      <c r="BR419" s="75" t="e">
        <f>+#REF!+#REF!+#REF!+#REF!+#REF!+#REF!+#REF!+#REF!+BR228+BR227+BR226+#REF!+#REF!+#REF!+#REF!+#REF!+#REF!+#REF!+#REF!+#REF!+#REF!+#REF!+#REF!+#REF!</f>
        <v>#REF!</v>
      </c>
      <c r="BS419" s="75" t="e">
        <f>+#REF!+#REF!+#REF!+#REF!+#REF!+#REF!+#REF!+#REF!+BS228+BS227+BS226+#REF!+#REF!+#REF!+#REF!+#REF!+#REF!+#REF!+#REF!+#REF!+#REF!+#REF!+#REF!+#REF!</f>
        <v>#REF!</v>
      </c>
      <c r="BT419" s="75" t="e">
        <f>+#REF!+#REF!+#REF!+#REF!+#REF!+#REF!+#REF!+#REF!+BT228+BT227+BT226+#REF!+#REF!+#REF!+#REF!+#REF!+#REF!+#REF!+#REF!+#REF!+#REF!+#REF!+#REF!+#REF!</f>
        <v>#REF!</v>
      </c>
      <c r="BU419" s="75" t="e">
        <f>+#REF!+#REF!+#REF!+#REF!+#REF!+#REF!+#REF!+#REF!+BU228+BU227+BU226+#REF!+#REF!+#REF!+#REF!+#REF!+#REF!+#REF!+#REF!+#REF!+#REF!+#REF!+#REF!+#REF!+BU267</f>
        <v>#REF!</v>
      </c>
      <c r="BV419" s="75" t="e">
        <f>+#REF!+#REF!+#REF!+#REF!+#REF!+#REF!+#REF!+#REF!+BV228+BV227+BV226+#REF!+#REF!+#REF!+#REF!+#REF!+#REF!+#REF!+#REF!+#REF!+#REF!+#REF!+#REF!+#REF!</f>
        <v>#REF!</v>
      </c>
      <c r="BW419" s="75" t="e">
        <f>+#REF!+#REF!+#REF!+#REF!+#REF!+#REF!+#REF!+#REF!+BW228+BW227+BW226+#REF!+#REF!+#REF!+#REF!+#REF!+#REF!+#REF!+#REF!+#REF!+#REF!+#REF!+#REF!+#REF!</f>
        <v>#REF!</v>
      </c>
      <c r="BX419" s="75" t="e">
        <f>+#REF!+#REF!+#REF!+#REF!+#REF!+#REF!+#REF!+#REF!+BX228+BX227+BX226+#REF!+#REF!+#REF!+#REF!+#REF!+#REF!+#REF!+#REF!+#REF!+#REF!+#REF!+#REF!+#REF!</f>
        <v>#REF!</v>
      </c>
      <c r="BY419" s="75" t="e">
        <f>+#REF!+#REF!+#REF!+#REF!+#REF!+#REF!+#REF!+#REF!+BY228+BY227+BY226+#REF!+#REF!+#REF!+#REF!+#REF!+#REF!+#REF!+#REF!+#REF!+#REF!+#REF!+#REF!+#REF!</f>
        <v>#REF!</v>
      </c>
      <c r="BZ419" s="75" t="e">
        <f>+#REF!+#REF!+#REF!+#REF!+#REF!+#REF!+#REF!+#REF!+BZ228+BZ227+BZ226+#REF!+#REF!+#REF!+#REF!+#REF!+#REF!+#REF!+#REF!+#REF!+#REF!+#REF!+#REF!+#REF!</f>
        <v>#REF!</v>
      </c>
      <c r="CA419" s="75" t="e">
        <f>+#REF!+#REF!+#REF!+#REF!+#REF!+#REF!+#REF!+#REF!+CA228+CA227+CA226+#REF!+#REF!+#REF!+#REF!+#REF!+#REF!+#REF!+#REF!+#REF!+#REF!+#REF!+#REF!+#REF!</f>
        <v>#REF!</v>
      </c>
      <c r="CB419" s="75" t="e">
        <f>+#REF!+#REF!+#REF!+#REF!+#REF!+#REF!+#REF!+#REF!+CB228+CB227+CB226+#REF!+#REF!+#REF!+#REF!+#REF!+#REF!+#REF!+#REF!+#REF!+#REF!+#REF!+#REF!+#REF!</f>
        <v>#REF!</v>
      </c>
      <c r="CC419" s="75" t="e">
        <f>+#REF!+#REF!+#REF!+#REF!+#REF!+#REF!+#REF!+#REF!+CC228+CC227+CC226+#REF!+#REF!+#REF!+#REF!+#REF!+#REF!+#REF!+#REF!+#REF!+#REF!+#REF!+#REF!+#REF!</f>
        <v>#REF!</v>
      </c>
      <c r="CD419" s="75" t="e">
        <f>+#REF!+#REF!+#REF!+#REF!+#REF!+#REF!+#REF!+#REF!+CD228+CD227+CD226+#REF!+#REF!+#REF!+#REF!+#REF!+#REF!+#REF!+#REF!+#REF!+#REF!+#REF!+#REF!+#REF!</f>
        <v>#REF!</v>
      </c>
      <c r="CE419" s="19" t="e">
        <f t="shared" si="1611"/>
        <v>#REF!</v>
      </c>
      <c r="CF419" s="19" t="e">
        <f t="shared" si="1612"/>
        <v>#REF!</v>
      </c>
      <c r="CG419" s="19" t="e">
        <f t="shared" si="1613"/>
        <v>#REF!</v>
      </c>
      <c r="CH419" s="19" t="e">
        <f t="shared" si="1614"/>
        <v>#REF!</v>
      </c>
      <c r="CI419" s="19" t="e">
        <f t="shared" si="1615"/>
        <v>#REF!</v>
      </c>
      <c r="CJ419" s="19" t="e">
        <f t="shared" si="1616"/>
        <v>#REF!</v>
      </c>
      <c r="CK419" s="19" t="e">
        <f t="shared" si="1617"/>
        <v>#REF!</v>
      </c>
      <c r="CL419" s="19" t="e">
        <f t="shared" si="1644"/>
        <v>#REF!</v>
      </c>
      <c r="CM419" s="19" t="e">
        <f t="shared" si="1645"/>
        <v>#REF!</v>
      </c>
      <c r="CN419" s="48" t="e">
        <f t="shared" si="1582"/>
        <v>#REF!</v>
      </c>
      <c r="CO419" s="19" t="e">
        <f t="shared" si="1618"/>
        <v>#REF!</v>
      </c>
      <c r="CP419" s="19" t="e">
        <f t="shared" si="1646"/>
        <v>#REF!</v>
      </c>
      <c r="CQ419" s="19" t="e">
        <f t="shared" si="1619"/>
        <v>#REF!</v>
      </c>
      <c r="CR419" s="19" t="e">
        <f t="shared" si="1620"/>
        <v>#REF!</v>
      </c>
      <c r="CS419" s="19" t="e">
        <f t="shared" si="1621"/>
        <v>#REF!</v>
      </c>
      <c r="CT419" s="19" t="e">
        <f t="shared" si="1647"/>
        <v>#REF!</v>
      </c>
      <c r="CU419" s="48" t="e">
        <f t="shared" si="1648"/>
        <v>#REF!</v>
      </c>
      <c r="CV419" s="48" t="e">
        <f t="shared" si="1622"/>
        <v>#REF!</v>
      </c>
      <c r="CW419" s="75" t="e">
        <f>+#REF!+#REF!+#REF!+#REF!+#REF!+#REF!+#REF!+#REF!+CW228+CW227+CW226+#REF!+#REF!+#REF!+#REF!+#REF!+#REF!+#REF!+#REF!+#REF!+#REF!+#REF!+#REF!+#REF!</f>
        <v>#REF!</v>
      </c>
      <c r="CX419" s="75" t="e">
        <f>+#REF!+#REF!+#REF!+#REF!+#REF!+#REF!+#REF!+#REF!+CX228+CX227+CX226+#REF!+#REF!+#REF!+#REF!+#REF!+#REF!+#REF!+#REF!+#REF!+#REF!+#REF!+#REF!+#REF!</f>
        <v>#REF!</v>
      </c>
      <c r="CY419" s="75" t="e">
        <f>+#REF!+#REF!+#REF!+#REF!+#REF!+#REF!+#REF!+#REF!+CY228+CY227+CY226+#REF!+#REF!+#REF!+#REF!+#REF!+#REF!+#REF!+#REF!+#REF!+#REF!+#REF!+#REF!+#REF!</f>
        <v>#REF!</v>
      </c>
      <c r="CZ419" s="75" t="e">
        <f>+#REF!+#REF!+#REF!+#REF!+#REF!+#REF!+#REF!+#REF!+CZ228+CZ227+CZ226+#REF!+#REF!+#REF!+#REF!+#REF!+#REF!+#REF!+#REF!+#REF!+#REF!+#REF!+#REF!+#REF!</f>
        <v>#REF!</v>
      </c>
      <c r="DA419" s="20" t="e">
        <f t="shared" si="1655"/>
        <v>#REF!</v>
      </c>
      <c r="DB419" s="20" t="e">
        <f t="shared" si="1649"/>
        <v>#REF!</v>
      </c>
      <c r="DC419" s="51" t="e">
        <f t="shared" si="1650"/>
        <v>#REF!</v>
      </c>
      <c r="DD419" s="51" t="e">
        <f t="shared" si="1650"/>
        <v>#REF!</v>
      </c>
      <c r="DE419" s="75" t="e">
        <f>+#REF!+#REF!+#REF!+#REF!+#REF!+#REF!+#REF!+#REF!+DE228+DE227+DE226+#REF!+#REF!+#REF!+#REF!+#REF!+#REF!+#REF!+#REF!+#REF!+#REF!+#REF!+#REF!+#REF!</f>
        <v>#REF!</v>
      </c>
      <c r="DF419" s="75" t="e">
        <f>+#REF!+#REF!+#REF!+#REF!+#REF!+#REF!+#REF!+#REF!+DF228+DF227+DF226+#REF!+#REF!+#REF!+#REF!+#REF!+#REF!+#REF!+#REF!+#REF!+#REF!+#REF!+#REF!+#REF!</f>
        <v>#REF!</v>
      </c>
      <c r="DG419" s="75" t="e">
        <f>+#REF!+#REF!+#REF!+#REF!+#REF!+#REF!+#REF!+#REF!+DG228+DG227+DG226+#REF!+#REF!+#REF!+#REF!+#REF!+#REF!+#REF!+#REF!+#REF!+#REF!+#REF!+#REF!+#REF!</f>
        <v>#REF!</v>
      </c>
      <c r="DH419" s="75" t="e">
        <f>+#REF!+#REF!+#REF!+#REF!+#REF!+#REF!+#REF!+#REF!+DH228+DH227+DH226+#REF!+#REF!+#REF!+#REF!+#REF!+#REF!+#REF!+#REF!+#REF!+#REF!+#REF!+#REF!+#REF!</f>
        <v>#REF!</v>
      </c>
      <c r="DI419" s="39"/>
      <c r="DJ419" s="75" t="e">
        <f>+#REF!+#REF!+#REF!+#REF!+#REF!+#REF!+#REF!+#REF!+DJ228+DJ227+DJ226+#REF!+#REF!+#REF!+#REF!+#REF!+#REF!+#REF!+#REF!+#REF!+#REF!+#REF!+#REF!+#REF!</f>
        <v>#REF!</v>
      </c>
      <c r="DK419" s="75" t="e">
        <f>+#REF!+#REF!+#REF!+#REF!+#REF!+#REF!+#REF!+#REF!+DK228+DK227+DK226+#REF!+#REF!+#REF!+#REF!+#REF!+#REF!+#REF!+#REF!+#REF!+#REF!+#REF!+#REF!+#REF!</f>
        <v>#REF!</v>
      </c>
      <c r="DL419" s="75" t="e">
        <f>+#REF!+#REF!+#REF!+#REF!+#REF!+#REF!+#REF!+#REF!+DL228+DL227+DL226+#REF!+#REF!+#REF!+#REF!+#REF!+#REF!+#REF!+#REF!+#REF!+#REF!+#REF!+#REF!+#REF!</f>
        <v>#REF!</v>
      </c>
      <c r="DM419" s="48">
        <f>+AT419-'[2]тарифы (12-13) население 15%'!AP535</f>
        <v>0</v>
      </c>
      <c r="DN419" s="39"/>
      <c r="DO419" s="39"/>
      <c r="DP419" s="39"/>
      <c r="DQ419" s="39"/>
      <c r="DR419" s="39"/>
      <c r="DS419" s="39"/>
      <c r="DT419" s="39"/>
      <c r="DU419" s="39"/>
      <c r="DV419" s="171" t="e">
        <f>+DV19+#REF!+DV43+DV53+DV90+DV105+DV144+DV145+DV146+#REF!+DV188+DV212+DV234+#REF!+DV260+DV267+DV275+DV283+DV288+#REF!+DV316+#REF!+#REF!+DV338+#REF!+DV352+#REF!+#REF!+#REF!+#REF!+#REF!</f>
        <v>#REF!</v>
      </c>
      <c r="DW419" s="171" t="e">
        <f>+DW19+#REF!+DW43+DW53+DW90+DW105+DW144+DW145+DW146+#REF!+DW188+DW212+DW234+#REF!+DW260+DW267+DW275+DW283+DW288+#REF!+DW316+#REF!+#REF!+DW338+#REF!+DW352+#REF!+#REF!+#REF!+#REF!+#REF!</f>
        <v>#REF!</v>
      </c>
      <c r="DX419" s="21">
        <f>+'[1]тарифы (НВВ) население на 4,2%'!CO561</f>
        <v>84.790306738461524</v>
      </c>
      <c r="DY419" s="21" t="e">
        <f t="shared" si="1491"/>
        <v>#REF!</v>
      </c>
      <c r="DZ419" s="46"/>
      <c r="EA419" s="46"/>
      <c r="EB419" s="46"/>
      <c r="EC419" s="39" t="e">
        <f>+EC19+#REF!+EC43+EC53+EC90+EC105+EC144+EC145+EC146+#REF!+EC188+EC212+EC234+#REF!+EC260+EC267+EC275+EC283+EC288+#REF!+EC316+#REF!+#REF!+EC338+#REF!+EC352+#REF!+#REF!+#REF!+#REF!+#REF!+#REF!+#REF!+#REF!+#REF!+#REF!+#REF!</f>
        <v>#REF!</v>
      </c>
      <c r="ED419" s="39" t="e">
        <f>+ED19+#REF!+ED43+ED53+ED90+ED105+ED144+ED145+ED146+#REF!+ED188+ED212+ED234+#REF!+ED260+ED267+ED275+ED283+ED288+#REF!+ED316+#REF!+#REF!+ED338+#REF!+ED352+#REF!+#REF!+#REF!+#REF!+#REF!+#REF!+#REF!+#REF!+#REF!+#REF!+#REF!</f>
        <v>#REF!</v>
      </c>
      <c r="EE419" s="46"/>
      <c r="EF419" s="39"/>
      <c r="EG419" s="39"/>
      <c r="EH419" s="39"/>
      <c r="EI419" s="39"/>
      <c r="EJ419" s="22">
        <f t="shared" ref="EJ419:EJ443" si="1662">+IF(EH419=0,,EI419/EH419*100)</f>
        <v>0</v>
      </c>
      <c r="EK419" s="39"/>
      <c r="EL419" s="83" t="e">
        <f>+EL19+#REF!+EL43+EL53+EL90+EL105+EL144+EL145+EL146+#REF!+EL188+EL212+EL234+#REF!+EL260+EL267+EL275+EL283+EL288+#REF!+EL316+#REF!+#REF!+EL338+#REF!+EL352+#REF!+#REF!+#REF!+#REF!+#REF!+#REF!+#REF!+#REF!+#REF!+#REF!+#REF!</f>
        <v>#REF!</v>
      </c>
      <c r="EM419" s="83" t="e">
        <f>+EM19+#REF!+EM43+EM53+EM90+EM105+EM144+EM145+EM146+#REF!+EM188+EM212+EM234+#REF!+EM260+EM267+EM275+EM283+EM288+#REF!+EM316+#REF!+#REF!+EM338+#REF!+EM352+#REF!+#REF!+#REF!+#REF!+#REF!+#REF!+#REF!+#REF!+#REF!+#REF!+#REF!</f>
        <v>#REF!</v>
      </c>
      <c r="EN419" s="205" t="e">
        <f>+EN19+#REF!+EN43+EN53+EN90+EN105+EN144+EN145+EN146+#REF!+EN188+EN212+EN234+#REF!+EN260+EN267+EN275+EN283+EN288+#REF!+EN316+#REF!+#REF!+EN338+#REF!+EN352+#REF!+#REF!+#REF!+#REF!+#REF!+#REF!+#REF!+#REF!+#REF!+#REF!+#REF!</f>
        <v>#REF!</v>
      </c>
      <c r="EO419" s="205" t="e">
        <f>+EO19+#REF!+EO43+EO53+EO90+EO105+EO144+EO145+EO146+#REF!+EO188+EO212+EO234+#REF!+EO260+EO267+EO275+EO283+EO288+#REF!+EO316+#REF!+#REF!+EO338+#REF!+EO352+#REF!+#REF!+#REF!+#REF!+#REF!+#REF!+#REF!+#REF!+#REF!+#REF!+#REF!</f>
        <v>#REF!</v>
      </c>
      <c r="EP419" s="205"/>
      <c r="EQ419" s="21" t="e">
        <f t="shared" si="1623"/>
        <v>#REF!</v>
      </c>
      <c r="ER419" s="21"/>
      <c r="ES419" s="21" t="e">
        <f>+ES19+#REF!+ES43+ES53+ES90+ES105+ES144+ES145+ES146+#REF!+ES188+ES212+ES234+#REF!+ES260+ES267+ES275+ES283+ES288+#REF!+ES316+#REF!+#REF!+ES338+#REF!+ES352+#REF!+#REF!+#REF!+#REF!+#REF!+#REF!+#REF!+#REF!+#REF!+#REF!+#REF!</f>
        <v>#REF!</v>
      </c>
      <c r="ET419" s="48" t="e">
        <f>+ES419/EL419</f>
        <v>#REF!</v>
      </c>
      <c r="EU419" s="21" t="e">
        <f>+EU19+#REF!+EU43+EU53+EU90+EU105+EU144+EU145+EU146+#REF!+EU188+EU212+EU234+#REF!+EU260+EU267+EU275+EU283+EU288+#REF!+EU316+#REF!+#REF!+EU338+#REF!+EU352+#REF!+#REF!+#REF!+#REF!+#REF!+#REF!+#REF!+#REF!+#REF!+#REF!+#REF!</f>
        <v>#REF!</v>
      </c>
      <c r="EV419" s="19" t="e">
        <f t="shared" si="1657"/>
        <v>#REF!</v>
      </c>
      <c r="EW419" s="39"/>
      <c r="EX419" s="166" t="e">
        <f t="shared" ref="EX419:EY423" si="1663">+EX415+EX416+EX417+EX418</f>
        <v>#REF!</v>
      </c>
      <c r="EY419" s="39" t="e">
        <f t="shared" si="1663"/>
        <v>#REF!</v>
      </c>
      <c r="EZ419" s="39"/>
      <c r="FA419" s="39"/>
      <c r="FB419" s="39"/>
      <c r="FC419" s="39"/>
      <c r="FD419" s="39"/>
      <c r="FE419" s="39"/>
      <c r="FF419" s="39"/>
      <c r="FG419" s="39"/>
      <c r="FH419" s="39"/>
      <c r="FI419" s="39"/>
      <c r="FJ419" s="51" t="e">
        <f>+FJ19+#REF!+FJ43+FJ53+FJ90+FJ105+FJ144+FJ145+FJ146+#REF!+FJ188+FJ212+FJ234+#REF!+FJ260+FJ267+FJ275+FJ283+FJ288+#REF!+FJ316+#REF!+#REF!+FJ338+#REF!+FJ352+#REF!+#REF!+#REF!+#REF!+#REF!+#REF!+#REF!+#REF!+#REF!+#REF!+#REF!</f>
        <v>#REF!</v>
      </c>
      <c r="FK419" s="51" t="e">
        <f>+FK19+#REF!+FK43+FK53+FK90+FK105+FK144+FK145+FK146+#REF!+FK188+FK212+FK234+#REF!+FK260+FK267+FK275+FK283+FK288+#REF!+FK316+#REF!+#REF!+FK338+#REF!+FK352+#REF!+#REF!+#REF!+#REF!+#REF!+#REF!+#REF!+#REF!+#REF!+#REF!+#REF!</f>
        <v>#REF!</v>
      </c>
      <c r="FL419" s="46"/>
      <c r="FM419" s="83" t="e">
        <f>+FM19+FM43+FM90+FM105+FM144+FM145+FM146+FM147+FM188+FM189+FM212+FM234+FM260+FM275+FM316+FM338+FM339+FM352+#REF!+#REF!+#REF!+#REF!+FM53+#REF!+#REF!+#REF!+#REF!+#REF!+#REF!+#REF!+#REF!+#REF!+#REF!+#REF!+FM267+#REF!+FM283+FM288+#REF!+#REF!+#REF!+#REF!+#REF!+#REF!+#REF!+FM385</f>
        <v>#REF!</v>
      </c>
      <c r="FN419" s="83" t="e">
        <f>+FN19+FN43+FN90+FN105+FN144+FN145+FN146+FN147+FN188+FN189+FN212+FN234+FN260+FN275+FN316+FN338+FN339+FN352+#REF!+#REF!+#REF!+#REF!+FN53+#REF!+#REF!+#REF!+#REF!+#REF!+#REF!+#REF!+#REF!+#REF!+#REF!+#REF!+FN267+#REF!+FN283+FN288+#REF!+#REF!+#REF!+#REF!+#REF!+#REF!+#REF!+FN385</f>
        <v>#REF!</v>
      </c>
      <c r="FO419" s="39">
        <f t="shared" si="1624"/>
        <v>0</v>
      </c>
      <c r="FP419" s="39"/>
      <c r="FQ419" s="39"/>
      <c r="FR419" s="39">
        <f t="shared" si="1625"/>
        <v>0</v>
      </c>
      <c r="FS419" s="39"/>
      <c r="FT419" s="39"/>
      <c r="FU419" s="39"/>
      <c r="FV419" s="51" t="e">
        <f>+FV19+FV43+FV90+FV105+FV144+FV145+FV146+FV147+FV188+FV189+FV212+FV234+FV260+FV275+FV316+FV338+FV339+FV352+#REF!+#REF!+#REF!+#REF!+FV53+#REF!+#REF!+#REF!+#REF!+#REF!+#REF!+#REF!+#REF!+#REF!+#REF!+#REF!+FV267+#REF!+FV283+FV288+#REF!+#REF!+#REF!+#REF!+#REF!+#REF!+#REF!+FV385</f>
        <v>#REF!</v>
      </c>
      <c r="FW419" s="51" t="e">
        <f>+FW19+FW43+FW90+FW105+FW144+FW145+FW146+FW147+FW188+FW189+FW212+FW234+FW260+FW275+FW316+FW338+FW339+FW352+#REF!+#REF!+#REF!+#REF!+FW53+#REF!+#REF!+#REF!+#REF!+#REF!+#REF!+#REF!+#REF!+#REF!+#REF!+#REF!+FW267+#REF!+FW283+FW288+#REF!+#REF!+#REF!+#REF!+#REF!+#REF!+#REF!+FW385</f>
        <v>#REF!</v>
      </c>
      <c r="FX419" s="165" t="e">
        <f t="shared" si="1629"/>
        <v>#REF!</v>
      </c>
      <c r="FY419" s="19" t="e">
        <f>+FY19+FY43+FY90+FY105+FY144+FY145+FY146+FY147+FY188+FY189+FY212+FY234+FY260+FY275+FY316+FY338+FY339+FY352+#REF!+#REF!+#REF!+#REF!+FY53+#REF!+#REF!+#REF!+#REF!+#REF!+#REF!+#REF!+#REF!+#REF!+#REF!+#REF!+FY267+#REF!+FY283+FY288+#REF!+#REF!+#REF!+#REF!+#REF!+#REF!+#REF!+FY385</f>
        <v>#REF!</v>
      </c>
      <c r="FZ419" s="19" t="e">
        <f>+FZ19+FZ43+FZ90+FZ105+FZ144+FZ145+FZ146+FZ147+FZ188+FZ189+FZ212+FZ234+FZ260+FZ275+FZ316+FZ338+FZ339+FZ352+#REF!+#REF!+#REF!+#REF!+FZ53+#REF!+#REF!+#REF!+#REF!+#REF!+#REF!+#REF!+#REF!+#REF!+#REF!+#REF!+FZ267+#REF!+FZ283+FZ288+#REF!+#REF!+#REF!+#REF!+#REF!+#REF!+#REF!+FZ385</f>
        <v>#REF!</v>
      </c>
      <c r="GA419" s="19" t="e">
        <f>+GA19+GA43+GA90+GA105+GA144+GA145+GA146+GA147+GA188+GA189+GA212+GA234+GA260+GA275+GA316+GA338+GA339+GA352+#REF!+#REF!+#REF!+#REF!+GA53+#REF!+#REF!+#REF!+#REF!+#REF!+#REF!+#REF!+#REF!+#REF!+#REF!+#REF!+GA267+#REF!+GA283+GA288+#REF!+#REF!+#REF!+#REF!+#REF!+#REF!+#REF!+GA385</f>
        <v>#REF!</v>
      </c>
      <c r="GB419" s="19" t="e">
        <f>+GB19+GB43+GB90+GB105+GB144+GB145+GB146+GB147+GB188+GB189+GB212+GB234+GB260+GB275+GB316+GB338+GB339+GB352+#REF!+#REF!+#REF!+#REF!+GB53+#REF!+#REF!+#REF!+#REF!+#REF!+#REF!+#REF!+#REF!+#REF!+#REF!+#REF!+GB267+#REF!+GB283+GB288+#REF!+#REF!+#REF!+#REF!+#REF!+#REF!+#REF!+GB385</f>
        <v>#REF!</v>
      </c>
      <c r="GC419" s="20" t="e">
        <f t="shared" si="1632"/>
        <v>#REF!</v>
      </c>
      <c r="GD419" s="20" t="e">
        <f t="shared" si="1633"/>
        <v>#REF!</v>
      </c>
      <c r="GE419" s="21" t="e">
        <f>+GE19+GE43+GE90+GE105+GE144+GE145+GE146+GE147+GE188+GE189+GE212+GE234+GE260+GE275+GE316+GE338+GE339+GE352+#REF!+#REF!+#REF!+#REF!+GE53+#REF!+#REF!+#REF!+#REF!+#REF!+#REF!+#REF!+#REF!+#REF!+#REF!+#REF!+GE267+#REF!+GE283+GE288+#REF!+#REF!+#REF!+#REF!+#REF!+#REF!+#REF!+GE385</f>
        <v>#REF!</v>
      </c>
      <c r="GF419" s="21" t="e">
        <f>+GF19+GF43+GF90+GF105+GF144+GF145+GF146+GF147+GF188+GF189+GF212+GF234+GF260+GF275+GF316+GF338+GF339+GF352+#REF!+#REF!+#REF!+#REF!+GF53+#REF!+#REF!+#REF!+#REF!+#REF!+#REF!+#REF!+#REF!+#REF!+#REF!+#REF!+GF267+#REF!+GF283+GF288+#REF!+#REF!+#REF!+#REF!+#REF!+#REF!+#REF!+GF385</f>
        <v>#REF!</v>
      </c>
      <c r="GG419" s="48" t="e">
        <f t="shared" si="1653"/>
        <v>#REF!</v>
      </c>
      <c r="GH419" s="48" t="e">
        <f t="shared" si="1653"/>
        <v>#REF!</v>
      </c>
      <c r="GI419" s="21" t="e">
        <f>+GI19+GI43+GI90+GI105+GI144+GI145+GI146+GI147+GI188+GI189+GI212+GI234+GI260+GI275+GI316+GI338+GI339+GI352+#REF!+#REF!+#REF!+#REF!+GI53+#REF!+#REF!+#REF!+#REF!+#REF!+#REF!+#REF!+#REF!+#REF!+#REF!+#REF!+GI267+#REF!+GI283+GI288+#REF!+#REF!+#REF!+#REF!+#REF!+#REF!+#REF!+GI385</f>
        <v>#REF!</v>
      </c>
      <c r="GJ419" s="21" t="e">
        <f>+GJ19+GJ43+GJ90+GJ105+GJ144+GJ145+GJ146+GJ147+GJ188+GJ189+GJ212+GJ234+GJ260+GJ275+GJ316+GJ338+GJ339+GJ352+#REF!+#REF!+#REF!+#REF!+GJ53+#REF!+#REF!+#REF!+#REF!+#REF!+#REF!+#REF!+#REF!+#REF!+#REF!+#REF!+GJ267+#REF!+GJ283+GJ288+#REF!+#REF!+#REF!+#REF!+#REF!+#REF!+#REF!+GJ385</f>
        <v>#REF!</v>
      </c>
      <c r="GK419" s="48" t="e">
        <f t="shared" si="1654"/>
        <v>#REF!</v>
      </c>
      <c r="GL419" s="48" t="e">
        <f t="shared" si="1654"/>
        <v>#REF!</v>
      </c>
      <c r="GM419" s="83" t="e">
        <f>+GM19+#REF!+#REF!+#REF!+GM37+GM43+GM53+#REF!+#REF!+#REF!+#REF!+GM90+GM105+GM144+GM145+GM146+GM147+#REF!+#REF!+#REF!+GM173+GM188+GM189+#REF!+#REF!+GM212+GM234+#REF!+GM244+GM260+#REF!+GM267+#REF!+GM275+GM283+GM288+#REF!+#REF!+GM316+#REF!+#REF!+GM331+#REF!+GM338+GM339+#REF!+GM352+#REF!+#REF!+#REF!+#REF!+#REF!+GM385+GM410</f>
        <v>#REF!</v>
      </c>
      <c r="GN419" s="83" t="e">
        <f>+GN19+#REF!+#REF!+#REF!+GN37+GN43+GN53+#REF!+#REF!+#REF!+#REF!+GN90+GN105+GN144+GN145+GN146+GN147+#REF!+#REF!+#REF!+GN173+GN188+GN189+#REF!+#REF!+GN212+GN234+#REF!+GN244+GN260+#REF!+GN267+#REF!+GN275+GN283+GN288+#REF!+#REF!+GN316+#REF!+#REF!+GN331+#REF!+GN338+GN339+#REF!+GN352+#REF!+#REF!+#REF!+#REF!+#REF!+GN385+GN410</f>
        <v>#REF!</v>
      </c>
      <c r="GO419" s="166" t="e">
        <f t="shared" ref="GO419:GO425" si="1664">+GL419/GH419*100</f>
        <v>#REF!</v>
      </c>
      <c r="GP419" s="166" t="e">
        <f t="shared" ref="GP419:GP425" si="1665">+GK419/GG419*100</f>
        <v>#REF!</v>
      </c>
      <c r="GQ419" s="39"/>
      <c r="GR419" s="39" t="e">
        <f t="shared" ref="GR419:GR425" si="1666">+EX419</f>
        <v>#REF!</v>
      </c>
      <c r="GS419" s="39"/>
      <c r="GT419" s="22"/>
      <c r="GU419" s="167"/>
      <c r="GV419" s="51" t="e">
        <f>+GV19+#REF!+#REF!+#REF!+GV37+GV43+GV53+#REF!+#REF!+#REF!+#REF!+GV90+GV105+GV144+GV145+GV146+GV147+#REF!+#REF!+#REF!+GV173+GV188+GV189+#REF!+#REF!+GV212+GV234+#REF!+GV244+GV260+#REF!+GV267+#REF!+GV275+GV283+GV288+#REF!+#REF!+GV316+#REF!+#REF!+GV331+#REF!+GV338+GV339+#REF!+GV352+#REF!+#REF!+#REF!+#REF!+#REF!+GV385+GV410</f>
        <v>#REF!</v>
      </c>
      <c r="GW419" s="51" t="e">
        <f>+GW19+#REF!+#REF!+#REF!+GW37+GW43+GW53+#REF!+#REF!+#REF!+#REF!+GW90+GW105+GW144+GW145+GW146+GW147+#REF!+#REF!+#REF!+GW173+GW188+GW189+#REF!+#REF!+GW212+GW234+#REF!+GW244+GW260+#REF!+GW267+#REF!+GW275+GW283+GW288+#REF!+#REF!+GW316+#REF!+#REF!+GW331+#REF!+GW338+GW339+#REF!+GW352+#REF!+#REF!+#REF!+#REF!+#REF!+GW385+GW410</f>
        <v>#REF!</v>
      </c>
      <c r="GX419" s="51" t="e">
        <f>+GX19+#REF!+#REF!+#REF!+GX37+GX43+GX53+#REF!+#REF!+#REF!+#REF!+GX90+GX105+GX144+GX145+GX146+GX147+#REF!+#REF!+#REF!+GX173+GX188+GX189+#REF!+#REF!+GX212+GX234+#REF!+GX244+GX260+#REF!+GX267+#REF!+GX275+GX283+GX288+#REF!+#REF!+GX316+#REF!+#REF!+GX331+#REF!+GX338+GX339+#REF!+GX352+#REF!+#REF!+#REF!+#REF!+#REF!+GX385+GX410</f>
        <v>#REF!</v>
      </c>
      <c r="GY419" s="51" t="e">
        <f>+GY19+#REF!+#REF!+#REF!+GY37+GY43+GY53+#REF!+#REF!+#REF!+#REF!+GY90+GY105+GY144+GY145+GY146+GY147+#REF!+#REF!+#REF!+GY173+GY188+GY189+#REF!+#REF!+GY212+GY234+#REF!+GY244+GY260+#REF!+GY267+#REF!+GY275+GY283+GY288+#REF!+#REF!+GY316+#REF!+#REF!+GY331+#REF!+GY338+GY339+#REF!+GY352+#REF!+#REF!+#REF!+#REF!+#REF!+GY385+GY410</f>
        <v>#REF!</v>
      </c>
      <c r="GZ419" s="20" t="e">
        <f t="shared" si="1640"/>
        <v>#REF!</v>
      </c>
      <c r="HA419" s="39">
        <f t="shared" ref="HA419:HA425" si="1667">+FA419</f>
        <v>0</v>
      </c>
      <c r="HB419" s="39"/>
      <c r="HC419" s="39"/>
      <c r="HD419" s="39">
        <f t="shared" ref="HD419:HD425" si="1668">+FD419</f>
        <v>0</v>
      </c>
      <c r="HE419" s="39"/>
      <c r="HF419" s="207"/>
      <c r="HG419" s="172"/>
    </row>
    <row r="420" spans="1:215" s="14" customFormat="1" ht="16.149999999999999" hidden="1" customHeight="1" thickBot="1">
      <c r="A420" s="1"/>
      <c r="B420" s="7"/>
      <c r="C420" s="199" t="s">
        <v>148</v>
      </c>
      <c r="D420" s="206" t="e">
        <f t="shared" si="1658"/>
        <v>#REF!</v>
      </c>
      <c r="E420" s="75" t="e">
        <f>+#REF!+#REF!+#REF!+#REF!+#REF!+#REF!+#REF!+#REF!+#REF!+#REF!+#REF!+#REF!+#REF!+#REF!+E225+#REF!+#REF!+#REF!+#REF!+#REF!+#REF!+#REF!+#REF!</f>
        <v>#REF!</v>
      </c>
      <c r="F420" s="75" t="e">
        <f>+#REF!+#REF!+#REF!+#REF!+#REF!+#REF!+#REF!+#REF!+#REF!+#REF!+#REF!+#REF!+#REF!+#REF!+F225+#REF!+#REF!+#REF!+#REF!+#REF!+#REF!+#REF!+#REF!</f>
        <v>#REF!</v>
      </c>
      <c r="G420" s="75" t="e">
        <f>+#REF!+#REF!+#REF!+#REF!+#REF!+#REF!+#REF!+#REF!+#REF!+#REF!+#REF!+#REF!+#REF!+#REF!+G225+#REF!+#REF!+#REF!+#REF!+#REF!+#REF!+#REF!+#REF!</f>
        <v>#REF!</v>
      </c>
      <c r="H420" s="75" t="e">
        <f>+#REF!+#REF!+#REF!+#REF!+#REF!+#REF!+#REF!+#REF!+#REF!+#REF!+#REF!+#REF!+#REF!+#REF!+H225+#REF!+#REF!+#REF!+#REF!+#REF!+#REF!+#REF!+#REF!</f>
        <v>#REF!</v>
      </c>
      <c r="I420" s="75" t="e">
        <f>+#REF!+#REF!+#REF!+#REF!+#REF!+#REF!+#REF!+#REF!+#REF!+#REF!+#REF!+#REF!+#REF!+#REF!+I225+#REF!+#REF!+#REF!+#REF!+#REF!+#REF!+#REF!+#REF!</f>
        <v>#REF!</v>
      </c>
      <c r="J420" s="75" t="e">
        <f>+#REF!+#REF!+#REF!+#REF!+#REF!+#REF!+#REF!+#REF!+#REF!+#REF!+#REF!+#REF!+#REF!+#REF!+J225+#REF!+#REF!+#REF!+#REF!+#REF!+#REF!+#REF!+#REF!</f>
        <v>#REF!</v>
      </c>
      <c r="K420" s="75" t="e">
        <f>+#REF!+#REF!+#REF!+#REF!+#REF!+#REF!+#REF!+#REF!+#REF!+#REF!+#REF!+#REF!+#REF!+#REF!+K225+#REF!+#REF!+#REF!+#REF!+#REF!+#REF!+#REF!+#REF!</f>
        <v>#REF!</v>
      </c>
      <c r="L420" s="75" t="e">
        <f>+#REF!+#REF!+#REF!+#REF!+#REF!+#REF!+#REF!+#REF!+#REF!+#REF!+#REF!+#REF!+#REF!+#REF!+L225+#REF!+#REF!+#REF!+#REF!+#REF!+#REF!+#REF!+#REF!</f>
        <v>#REF!</v>
      </c>
      <c r="M420" s="206" t="e">
        <f>+N420+R420</f>
        <v>#REF!</v>
      </c>
      <c r="N420" s="75" t="e">
        <f>+#REF!+#REF!+#REF!+#REF!+#REF!+#REF!+#REF!+#REF!+#REF!+#REF!+#REF!+#REF!+#REF!+#REF!+N225+#REF!+#REF!+#REF!+#REF!+#REF!+#REF!+#REF!+#REF!</f>
        <v>#REF!</v>
      </c>
      <c r="O420" s="75" t="e">
        <f>+#REF!+#REF!+#REF!+#REF!+#REF!+#REF!+#REF!+#REF!+#REF!+#REF!+#REF!+#REF!+#REF!+#REF!+O225+#REF!+#REF!+#REF!+#REF!+#REF!+#REF!+#REF!+#REF!</f>
        <v>#REF!</v>
      </c>
      <c r="P420" s="75" t="e">
        <f>+#REF!+#REF!+#REF!+#REF!+#REF!+#REF!+#REF!+#REF!+#REF!+#REF!+#REF!+#REF!+#REF!+#REF!+P225+#REF!+#REF!+#REF!+#REF!+#REF!+#REF!+#REF!+#REF!</f>
        <v>#REF!</v>
      </c>
      <c r="Q420" s="75" t="e">
        <f>+#REF!+#REF!+#REF!+#REF!+#REF!+#REF!+#REF!+#REF!+#REF!+#REF!+#REF!+#REF!+#REF!+#REF!+Q225+#REF!+#REF!+#REF!+#REF!+#REF!+#REF!+#REF!+#REF!</f>
        <v>#REF!</v>
      </c>
      <c r="R420" s="75" t="e">
        <f>+#REF!+#REF!+#REF!+#REF!+#REF!+#REF!+#REF!+#REF!+#REF!+#REF!+#REF!+#REF!+#REF!+#REF!+R225+#REF!+#REF!+#REF!+#REF!+#REF!+#REF!+#REF!+#REF!</f>
        <v>#REF!</v>
      </c>
      <c r="S420" s="75" t="e">
        <f>+#REF!+#REF!+#REF!+#REF!+#REF!+#REF!+#REF!+#REF!+#REF!+#REF!+#REF!+#REF!+#REF!+#REF!+S225+#REF!+#REF!+#REF!+#REF!+#REF!+#REF!+#REF!+#REF!</f>
        <v>#REF!</v>
      </c>
      <c r="T420" s="75" t="e">
        <f>+#REF!+#REF!+#REF!+#REF!+#REF!+#REF!+#REF!+#REF!+#REF!+#REF!+#REF!+#REF!+#REF!+#REF!+T225+#REF!+#REF!+#REF!+#REF!+#REF!+#REF!+#REF!+#REF!</f>
        <v>#REF!</v>
      </c>
      <c r="U420" s="75" t="e">
        <f>+#REF!+#REF!+#REF!+#REF!+#REF!+#REF!+#REF!+#REF!+#REF!+#REF!+#REF!+#REF!+#REF!+#REF!+U225+#REF!+#REF!+#REF!+#REF!+#REF!+#REF!+#REF!+#REF!</f>
        <v>#REF!</v>
      </c>
      <c r="V420" s="39"/>
      <c r="W420" s="39"/>
      <c r="X420" s="22" t="e">
        <f>+BK420/D420*1000</f>
        <v>#REF!</v>
      </c>
      <c r="Y420" s="39"/>
      <c r="Z420" s="79" t="e">
        <f>+BO420/D420*1000</f>
        <v>#REF!</v>
      </c>
      <c r="AA420" s="39"/>
      <c r="AB420" s="79" t="e">
        <f>+BS420/D420*1000</f>
        <v>#REF!</v>
      </c>
      <c r="AC420" s="19"/>
      <c r="AD420" s="19"/>
      <c r="AE420" s="50"/>
      <c r="AF420" s="19"/>
      <c r="AG420" s="19"/>
      <c r="AH420" s="39"/>
      <c r="AI420" s="39"/>
      <c r="AJ420" s="39"/>
      <c r="AK420" s="39"/>
      <c r="AL420" s="22"/>
      <c r="AM420" s="39"/>
      <c r="AN420" s="39"/>
      <c r="AO420" s="39"/>
      <c r="AP420" s="39"/>
      <c r="AQ420" s="39"/>
      <c r="AR420" s="39"/>
      <c r="AS420" s="50"/>
      <c r="AT420" s="39"/>
      <c r="AU420" s="39"/>
      <c r="AV420" s="77"/>
      <c r="AW420" s="77"/>
      <c r="AX420" s="78"/>
      <c r="AY420" s="171" t="e">
        <f>+#REF!+AY21+#REF!+AY54+#REF!+AY69+#REF!+AY80+AY92+AY107+AY110+AY112+AY121+#REF!+AY130+#REF!+#REF!+AY163+#REF!+#REF!+AY206+AY214+AY236+#REF!+AY251+#REF!+#REF!+AY303+AY318+AY323+AY326+AY341+#REF!+AY354+#REF!+AY369+#REF!+AY399+#REF!</f>
        <v>#REF!</v>
      </c>
      <c r="AZ420" s="171" t="e">
        <f>+#REF!+AZ21+#REF!+AZ54+#REF!+AZ69+#REF!+AZ80+AZ92+AZ107+AZ110+AZ112+AZ121+#REF!+AZ130+#REF!+#REF!+AZ163+#REF!+#REF!+AZ206+AZ214+AZ236+#REF!+AZ251+#REF!+#REF!+AZ303+AZ318+AZ323+AZ326+AZ341+#REF!+AZ354+#REF!+AZ369+#REF!+AZ399+#REF!</f>
        <v>#REF!</v>
      </c>
      <c r="BA420" s="171" t="e">
        <f>+#REF!+BA21+#REF!+BA54+#REF!+BA69+#REF!+BA80+BA92+BA107+BA110+BA112+BA121+#REF!+BA130+#REF!+#REF!+BA163+#REF!+#REF!+BA206+BA214+BA236+#REF!+BA251+#REF!+#REF!+BA303+BA318+BA323+BA326+BA341+#REF!+BA354+#REF!+BA369+#REF!+BA399+#REF!</f>
        <v>#REF!</v>
      </c>
      <c r="BB420" s="171" t="e">
        <f>+#REF!+BB21+#REF!+BB54+#REF!+BB69+#REF!+BB80+BB92+BB107+BB110+BB112+BB121+#REF!+BB130+#REF!+#REF!+BB163+#REF!+#REF!+BB206+BB214+BB236+#REF!+BB251+#REF!+#REF!+BB303+BB318+BB323+BB326+BB341+#REF!+BB354+#REF!+BB369+#REF!+BB399+#REF!</f>
        <v>#REF!</v>
      </c>
      <c r="BC420" s="39"/>
      <c r="BD420" s="39"/>
      <c r="BE420" s="22"/>
      <c r="BF420" s="39"/>
      <c r="BG420" s="39"/>
      <c r="BH420" s="22"/>
      <c r="BI420" s="22"/>
      <c r="BJ420" s="40"/>
      <c r="BK420" s="75" t="e">
        <f>+#REF!+#REF!+#REF!+#REF!+#REF!+#REF!+#REF!+#REF!+#REF!+#REF!+#REF!+#REF!+#REF!+#REF!+BK225+#REF!+#REF!+#REF!+#REF!+#REF!+#REF!+#REF!+#REF!</f>
        <v>#REF!</v>
      </c>
      <c r="BL420" s="75" t="e">
        <f>+#REF!+#REF!+#REF!+#REF!+#REF!+#REF!+#REF!+#REF!+#REF!+#REF!+#REF!+#REF!+#REF!+#REF!+BL225+#REF!+#REF!+#REF!+#REF!+#REF!+#REF!+#REF!+#REF!</f>
        <v>#REF!</v>
      </c>
      <c r="BM420" s="75" t="e">
        <f>+#REF!+#REF!+#REF!+#REF!+#REF!+#REF!+#REF!+#REF!+#REF!+#REF!+#REF!+#REF!+#REF!+#REF!+BM225+#REF!+#REF!+#REF!+#REF!+#REF!+#REF!+#REF!+#REF!</f>
        <v>#REF!</v>
      </c>
      <c r="BN420" s="75" t="e">
        <f>+#REF!+#REF!+#REF!+#REF!+#REF!+#REF!+#REF!+#REF!+#REF!+#REF!+#REF!+#REF!+#REF!+#REF!+BN225+#REF!+#REF!+#REF!+#REF!+#REF!+#REF!+#REF!+#REF!</f>
        <v>#REF!</v>
      </c>
      <c r="BO420" s="75" t="e">
        <f>+#REF!+#REF!+#REF!+#REF!+#REF!+#REF!+#REF!+#REF!+#REF!+#REF!+#REF!+#REF!+#REF!+#REF!+BO225+#REF!+#REF!+#REF!+#REF!+#REF!+#REF!+#REF!+#REF!</f>
        <v>#REF!</v>
      </c>
      <c r="BP420" s="75" t="e">
        <f>+#REF!+#REF!+#REF!+#REF!+#REF!+#REF!+#REF!+#REF!+#REF!+#REF!+#REF!+#REF!+#REF!+#REF!+BP225+#REF!+#REF!+#REF!+#REF!+#REF!+#REF!+#REF!+#REF!</f>
        <v>#REF!</v>
      </c>
      <c r="BQ420" s="75" t="e">
        <f>+#REF!+#REF!+#REF!+#REF!+#REF!+#REF!+#REF!+#REF!+#REF!+#REF!+#REF!+#REF!+#REF!+#REF!+BQ225+#REF!+#REF!+#REF!+#REF!+#REF!+#REF!+#REF!+#REF!</f>
        <v>#REF!</v>
      </c>
      <c r="BR420" s="75" t="e">
        <f>+#REF!+#REF!+#REF!+#REF!+#REF!+#REF!+#REF!+#REF!+#REF!+#REF!+#REF!+#REF!+#REF!+#REF!+BR225+#REF!+#REF!+#REF!+#REF!+#REF!+#REF!+#REF!+#REF!</f>
        <v>#REF!</v>
      </c>
      <c r="BS420" s="75" t="e">
        <f>+#REF!+#REF!+#REF!+#REF!+#REF!+#REF!+#REF!+#REF!+#REF!+#REF!+#REF!+#REF!+#REF!+#REF!+BS225+#REF!+#REF!+#REF!+#REF!+#REF!+#REF!+#REF!+#REF!</f>
        <v>#REF!</v>
      </c>
      <c r="BT420" s="75" t="e">
        <f>+#REF!+#REF!+#REF!+#REF!+#REF!+#REF!+#REF!+#REF!+#REF!+#REF!+#REF!+#REF!+#REF!+#REF!+BT225+#REF!+#REF!+#REF!+#REF!+#REF!+#REF!+#REF!+#REF!</f>
        <v>#REF!</v>
      </c>
      <c r="BU420" s="75" t="e">
        <f>+#REF!+#REF!+#REF!+#REF!+#REF!+#REF!+#REF!+#REF!+#REF!+#REF!+#REF!+#REF!+#REF!+#REF!+BU225+#REF!+#REF!+#REF!+#REF!+#REF!+#REF!+#REF!+#REF!+BU54+BU326</f>
        <v>#REF!</v>
      </c>
      <c r="BV420" s="75" t="e">
        <f>+#REF!+#REF!+#REF!+#REF!+#REF!+#REF!+#REF!+#REF!+#REF!+#REF!+#REF!+#REF!+#REF!+#REF!+BV225+#REF!+#REF!+#REF!+#REF!+#REF!+#REF!+#REF!+#REF!</f>
        <v>#REF!</v>
      </c>
      <c r="BW420" s="75" t="e">
        <f>+#REF!+#REF!+#REF!+#REF!+#REF!+#REF!+#REF!+#REF!+#REF!+#REF!+#REF!+#REF!+#REF!+#REF!+BW225+#REF!+#REF!+#REF!+#REF!+#REF!+#REF!+#REF!+#REF!</f>
        <v>#REF!</v>
      </c>
      <c r="BX420" s="75" t="e">
        <f>+#REF!+#REF!+#REF!+#REF!+#REF!+#REF!+#REF!+#REF!+#REF!+#REF!+#REF!+#REF!+#REF!+#REF!+BX225+#REF!+#REF!+#REF!+#REF!+#REF!+#REF!+#REF!+#REF!</f>
        <v>#REF!</v>
      </c>
      <c r="BY420" s="75" t="e">
        <f>+#REF!+#REF!+#REF!+#REF!+#REF!+#REF!+#REF!+#REF!+#REF!+#REF!+#REF!+#REF!+#REF!+#REF!+BY225+#REF!+#REF!+#REF!+#REF!+#REF!+#REF!+#REF!+#REF!</f>
        <v>#REF!</v>
      </c>
      <c r="BZ420" s="75" t="e">
        <f>+#REF!+#REF!+#REF!+#REF!+#REF!+#REF!+#REF!+#REF!+#REF!+#REF!+#REF!+#REF!+#REF!+#REF!+BZ225+#REF!+#REF!+#REF!+#REF!+#REF!+#REF!+#REF!+#REF!</f>
        <v>#REF!</v>
      </c>
      <c r="CA420" s="75" t="e">
        <f>+#REF!+#REF!+#REF!+#REF!+#REF!+#REF!+#REF!+#REF!+#REF!+#REF!+#REF!+#REF!+#REF!+#REF!+CA225+#REF!+#REF!+#REF!+#REF!+#REF!+#REF!+#REF!+#REF!</f>
        <v>#REF!</v>
      </c>
      <c r="CB420" s="75" t="e">
        <f>+#REF!+#REF!+#REF!+#REF!+#REF!+#REF!+#REF!+#REF!+#REF!+#REF!+#REF!+#REF!+#REF!+#REF!+CB225+#REF!+#REF!+#REF!+#REF!+#REF!+#REF!+#REF!+#REF!</f>
        <v>#REF!</v>
      </c>
      <c r="CC420" s="75" t="e">
        <f>+#REF!+#REF!+#REF!+#REF!+#REF!+#REF!+#REF!+#REF!+#REF!+#REF!+#REF!+#REF!+#REF!+#REF!+CC225+#REF!+#REF!+#REF!+#REF!+#REF!+#REF!+#REF!+#REF!</f>
        <v>#REF!</v>
      </c>
      <c r="CD420" s="75" t="e">
        <f>+#REF!+#REF!+#REF!+#REF!+#REF!+#REF!+#REF!+#REF!+#REF!+#REF!+#REF!+#REF!+#REF!+#REF!+CD225+#REF!+#REF!+#REF!+#REF!+#REF!+#REF!+#REF!+#REF!</f>
        <v>#REF!</v>
      </c>
      <c r="CE420" s="48" t="e">
        <f t="shared" si="1611"/>
        <v>#REF!</v>
      </c>
      <c r="CF420" s="48" t="e">
        <f t="shared" si="1612"/>
        <v>#REF!</v>
      </c>
      <c r="CG420" s="48" t="e">
        <f t="shared" si="1613"/>
        <v>#REF!</v>
      </c>
      <c r="CH420" s="48" t="e">
        <f t="shared" si="1614"/>
        <v>#REF!</v>
      </c>
      <c r="CI420" s="48" t="e">
        <f t="shared" si="1615"/>
        <v>#REF!</v>
      </c>
      <c r="CJ420" s="48" t="e">
        <f t="shared" si="1616"/>
        <v>#REF!</v>
      </c>
      <c r="CK420" s="48" t="e">
        <f t="shared" si="1617"/>
        <v>#REF!</v>
      </c>
      <c r="CL420" s="48" t="e">
        <f t="shared" si="1644"/>
        <v>#REF!</v>
      </c>
      <c r="CM420" s="48" t="e">
        <f t="shared" si="1645"/>
        <v>#REF!</v>
      </c>
      <c r="CN420" s="48" t="e">
        <f t="shared" si="1582"/>
        <v>#REF!</v>
      </c>
      <c r="CO420" s="48" t="e">
        <f t="shared" si="1618"/>
        <v>#REF!</v>
      </c>
      <c r="CP420" s="48" t="e">
        <f t="shared" si="1646"/>
        <v>#REF!</v>
      </c>
      <c r="CQ420" s="48" t="e">
        <f t="shared" si="1619"/>
        <v>#REF!</v>
      </c>
      <c r="CR420" s="48" t="e">
        <f t="shared" si="1620"/>
        <v>#REF!</v>
      </c>
      <c r="CS420" s="48" t="e">
        <f t="shared" si="1621"/>
        <v>#REF!</v>
      </c>
      <c r="CT420" s="48" t="e">
        <f t="shared" si="1647"/>
        <v>#REF!</v>
      </c>
      <c r="CU420" s="48" t="e">
        <f t="shared" si="1648"/>
        <v>#REF!</v>
      </c>
      <c r="CV420" s="48" t="e">
        <f t="shared" si="1622"/>
        <v>#REF!</v>
      </c>
      <c r="CW420" s="75" t="e">
        <f>+#REF!+#REF!+#REF!+#REF!+#REF!+#REF!+#REF!+#REF!+#REF!+#REF!+#REF!+#REF!+#REF!+#REF!+CW225+#REF!+#REF!+#REF!+#REF!+#REF!+#REF!+#REF!+#REF!</f>
        <v>#REF!</v>
      </c>
      <c r="CX420" s="75" t="e">
        <f>+#REF!+#REF!+#REF!+#REF!+#REF!+#REF!+#REF!+#REF!+#REF!+#REF!+#REF!+#REF!+#REF!+#REF!+CX225+#REF!+#REF!+#REF!+#REF!+#REF!+#REF!+#REF!+#REF!</f>
        <v>#REF!</v>
      </c>
      <c r="CY420" s="75" t="e">
        <f>+#REF!+#REF!+#REF!+#REF!+#REF!+#REF!+#REF!+#REF!+#REF!+#REF!+#REF!+#REF!+#REF!+#REF!+CY225+#REF!+#REF!+#REF!+#REF!+#REF!+#REF!+#REF!+#REF!</f>
        <v>#REF!</v>
      </c>
      <c r="CZ420" s="75" t="e">
        <f>+#REF!+#REF!+#REF!+#REF!+#REF!+#REF!+#REF!+#REF!+#REF!+#REF!+#REF!+#REF!+#REF!+#REF!+CZ225+#REF!+#REF!+#REF!+#REF!+#REF!+#REF!+#REF!+#REF!</f>
        <v>#REF!</v>
      </c>
      <c r="DA420" s="20" t="e">
        <f t="shared" si="1655"/>
        <v>#REF!</v>
      </c>
      <c r="DB420" s="20" t="e">
        <f t="shared" si="1649"/>
        <v>#REF!</v>
      </c>
      <c r="DC420" s="51" t="e">
        <f t="shared" si="1650"/>
        <v>#REF!</v>
      </c>
      <c r="DD420" s="51" t="e">
        <f t="shared" si="1650"/>
        <v>#REF!</v>
      </c>
      <c r="DE420" s="75" t="e">
        <f>+#REF!+#REF!+#REF!+#REF!+#REF!+#REF!+#REF!+#REF!+#REF!+#REF!+#REF!+#REF!+#REF!+#REF!+DE225+#REF!+#REF!+#REF!+#REF!+#REF!+#REF!+#REF!+#REF!</f>
        <v>#REF!</v>
      </c>
      <c r="DF420" s="75" t="e">
        <f>+#REF!+#REF!+#REF!+#REF!+#REF!+#REF!+#REF!+#REF!+#REF!+#REF!+#REF!+#REF!+#REF!+#REF!+DF225+#REF!+#REF!+#REF!+#REF!+#REF!+#REF!+#REF!+#REF!</f>
        <v>#REF!</v>
      </c>
      <c r="DG420" s="75" t="e">
        <f>+#REF!+#REF!+#REF!+#REF!+#REF!+#REF!+#REF!+#REF!+#REF!+#REF!+#REF!+#REF!+#REF!+#REF!+DG225+#REF!+#REF!+#REF!+#REF!+#REF!+#REF!+#REF!+#REF!</f>
        <v>#REF!</v>
      </c>
      <c r="DH420" s="75" t="e">
        <f>+#REF!+#REF!+#REF!+#REF!+#REF!+#REF!+#REF!+#REF!+#REF!+#REF!+#REF!+#REF!+#REF!+#REF!+DH225+#REF!+#REF!+#REF!+#REF!+#REF!+#REF!+#REF!+#REF!</f>
        <v>#REF!</v>
      </c>
      <c r="DI420" s="39"/>
      <c r="DJ420" s="75" t="e">
        <f>+#REF!+#REF!+#REF!+#REF!+#REF!+#REF!+#REF!+#REF!+#REF!+#REF!+#REF!+#REF!+#REF!+#REF!+DJ225+#REF!+#REF!+#REF!+#REF!+#REF!+#REF!+#REF!+#REF!</f>
        <v>#REF!</v>
      </c>
      <c r="DK420" s="75" t="e">
        <f>+#REF!+#REF!+#REF!+#REF!+#REF!+#REF!+#REF!+#REF!+#REF!+#REF!+#REF!+#REF!+#REF!+#REF!+DK225+#REF!+#REF!+#REF!+#REF!+#REF!+#REF!+#REF!+#REF!</f>
        <v>#REF!</v>
      </c>
      <c r="DL420" s="75" t="e">
        <f>+#REF!+#REF!+#REF!+#REF!+#REF!+#REF!+#REF!+#REF!+#REF!+#REF!+#REF!+#REF!+#REF!+#REF!+DL225+#REF!+#REF!+#REF!+#REF!+#REF!+#REF!+#REF!+#REF!</f>
        <v>#REF!</v>
      </c>
      <c r="DM420" s="48">
        <f>+AT420-'[2]тарифы (12-13) население 15%'!AP536</f>
        <v>0</v>
      </c>
      <c r="DN420" s="39"/>
      <c r="DO420" s="39"/>
      <c r="DP420" s="39"/>
      <c r="DQ420" s="39"/>
      <c r="DR420" s="39"/>
      <c r="DS420" s="39"/>
      <c r="DT420" s="39"/>
      <c r="DU420" s="39"/>
      <c r="DV420" s="171" t="e">
        <f>+#REF!+DV21+#REF!+DV54+#REF!+DV69+#REF!+DV80+DV92+DV107+DV110+DV112+DV121+#REF!+DV130+#REF!+#REF!+DV163+#REF!+#REF!+DV206+DV214+DV236+#REF!+DV251+#REF!+#REF!+DV303+DV318+DV323+DV326+DV341+#REF!+DV354+#REF!+DV369+#REF!+DV399+#REF!</f>
        <v>#REF!</v>
      </c>
      <c r="DW420" s="171" t="e">
        <f>+#REF!+DW21+#REF!+DW54+#REF!+DW69+#REF!+DW80+DW92+DW107+DW110+DW112+DW121+#REF!+DW130+#REF!+#REF!+DW163+#REF!+#REF!+DW206+DW214+DW236+#REF!+DW251+#REF!+#REF!+DW303+DW318+DW323+DW326+DW341+#REF!+DW354+#REF!+DW369+#REF!+DW399+#REF!</f>
        <v>#REF!</v>
      </c>
      <c r="DX420" s="20">
        <f>+'[1]тарифы (НВВ) население на 4,2%'!CO562</f>
        <v>81.319809266496847</v>
      </c>
      <c r="DY420" s="20" t="e">
        <f>+IF(DW420=0,,DV420/DW420*100)</f>
        <v>#REF!</v>
      </c>
      <c r="DZ420" s="171" t="e">
        <f>+#REF!+DZ21+#REF!+DZ54+#REF!+DZ69+#REF!+DZ80+DZ92+DZ107+DZ110+DZ112+DZ121+#REF!+DZ130+#REF!+#REF!+DZ163+#REF!+#REF!+DZ206+DZ214+DZ236+#REF!+DZ251+#REF!+#REF!+DZ303+DZ318+DZ323+DZ326+DZ341+#REF!+DZ354+#REF!+DZ369+#REF!+DZ399+#REF!</f>
        <v>#REF!</v>
      </c>
      <c r="EA420" s="171" t="e">
        <f>+#REF!+EA21+#REF!+EA54+#REF!+EA69+#REF!+EA80+EA92+EA107+EA110+EA112+EA121+#REF!+EA130+#REF!+#REF!+EA163+#REF!+#REF!+EA206+EA214+EA236+#REF!+EA251+#REF!+#REF!+EA303+EA318+EA323+EA326+EA341+#REF!+EA354+#REF!+EA369+#REF!+EA399+#REF!</f>
        <v>#REF!</v>
      </c>
      <c r="EB420" s="171"/>
      <c r="EC420" s="171" t="e">
        <f>+#REF!+EC21+#REF!+EC54+#REF!+EC69+#REF!+EC80+EC92+EC107+EC110+EC112+EC121+#REF!+EC130+#REF!+#REF!+EC163+#REF!+#REF!+EC206+EC214+EC236+#REF!+EC251+#REF!+#REF!+EC303+EC318+EC323+EC326+EC341+#REF!+EC354+#REF!+EC369+#REF!+EC399+#REF!+EC96+EC158+EC160+EC262+#REF!</f>
        <v>#REF!</v>
      </c>
      <c r="ED420" s="171" t="e">
        <f>+#REF!+ED21+#REF!+ED54+#REF!+ED69+#REF!+ED80+ED92+ED107+ED110+ED112+ED121+#REF!+ED130+#REF!+#REF!+ED163+#REF!+#REF!+ED206+ED214+ED236+#REF!+ED251+#REF!+#REF!+ED303+ED318+ED323+ED326+ED341+#REF!+ED354+#REF!+ED369+#REF!+ED399+#REF!+ED96+ED158+ED160+ED262+#REF!</f>
        <v>#REF!</v>
      </c>
      <c r="EE420" s="19" t="e">
        <f>+(EC420+ED420)/1000</f>
        <v>#REF!</v>
      </c>
      <c r="EF420" s="39"/>
      <c r="EG420" s="39"/>
      <c r="EH420" s="39"/>
      <c r="EI420" s="39"/>
      <c r="EJ420" s="22">
        <f t="shared" si="1662"/>
        <v>0</v>
      </c>
      <c r="EK420" s="39"/>
      <c r="EL420" s="83" t="e">
        <f>+#REF!+EL21+#REF!+EL54+#REF!+EL69+#REF!+EL80+EL92+EL107+EL110+EL112+EL121+#REF!+EL130+#REF!+#REF!+EL163+#REF!+#REF!+EL206+EL214+EL236+#REF!+EL251+#REF!+#REF!+EL303+EL318+EL323+EL326+EL341+#REF!+EL354+#REF!+EL369+#REF!+EL399+#REF!+EL96+EL158+EL160+EL262+#REF!</f>
        <v>#REF!</v>
      </c>
      <c r="EM420" s="83" t="e">
        <f>+#REF!+EM21+#REF!+EM54+#REF!+EM69+#REF!+EM80+EM92+EM107+EM110+EM112+EM121+#REF!+EM130+#REF!+#REF!+EM163+#REF!+#REF!+EM206+EM214+EM236+#REF!+EM251+#REF!+#REF!+EM303+EM318+EM323+EM326+EM341+#REF!+EM354+#REF!+EM369+#REF!+EM399+#REF!+EM96+EM158+EM160+EM262+#REF!</f>
        <v>#REF!</v>
      </c>
      <c r="EN420" s="83" t="e">
        <f>+#REF!+EN21+#REF!+EN54+#REF!+EN69+#REF!+EN80+EN92+EN107+EN110+EN112+EN121+#REF!+EN130+#REF!+#REF!+EN163+#REF!+#REF!+EN206+EN214+EN236+#REF!+EN251+#REF!+#REF!+EN303+EN318+EN323+EN326+EN341+#REF!+EN354+#REF!+EN369+#REF!+EN399+#REF!+EN96+EN158+EN160+EN262+#REF!</f>
        <v>#REF!</v>
      </c>
      <c r="EO420" s="83" t="e">
        <f>+#REF!+EO21+#REF!+EO54+#REF!+EO69+#REF!+EO80+EO92+EO107+EO110+EO112+EO121+#REF!+EO130+#REF!+#REF!+EO163+#REF!+#REF!+EO206+EO214+EO236+#REF!+EO251+#REF!+#REF!+EO303+EO318+EO323+EO326+EO341+#REF!+EO354+#REF!+EO369+#REF!+EO399+#REF!+EO96+EO158+EO160+EO262+#REF!</f>
        <v>#REF!</v>
      </c>
      <c r="EP420" s="205"/>
      <c r="EQ420" s="21" t="e">
        <f t="shared" si="1623"/>
        <v>#REF!</v>
      </c>
      <c r="ER420" s="21"/>
      <c r="ES420" s="21" t="e">
        <f>+#REF!+ES21+#REF!+ES54+#REF!+ES69+#REF!+ES80+ES92+ES107+ES110+ES112+ES121+#REF!+ES130+#REF!+#REF!+ES163+#REF!+#REF!+ES206+ES214+ES236+#REF!+ES251+#REF!+#REF!+ES303+ES318+ES323+ES326+ES341+#REF!+ES354+#REF!+ES369+#REF!+ES399+#REF!+ES96+ES158+ES160+ES262</f>
        <v>#REF!</v>
      </c>
      <c r="ET420" s="19" t="e">
        <f t="shared" si="1656"/>
        <v>#REF!</v>
      </c>
      <c r="EU420" s="83" t="e">
        <f>+#REF!+EU21+#REF!+EU54+#REF!+EU69+#REF!+EU80+EU92+EU107+EU110+EU112+EU121+#REF!+EU130+#REF!+#REF!+EU163+#REF!+#REF!+EU206+EU214+EU236+#REF!+EU251+#REF!+#REF!+EU303+EU318+EU323+EU326+EU341+#REF!+EU354+#REF!+EU369+#REF!+EU399+#REF!+EU96+EU158+EU160+EU262</f>
        <v>#REF!</v>
      </c>
      <c r="EV420" s="48" t="e">
        <f t="shared" si="1657"/>
        <v>#REF!</v>
      </c>
      <c r="EW420" s="39"/>
      <c r="EX420" s="166" t="e">
        <f t="shared" si="1663"/>
        <v>#REF!</v>
      </c>
      <c r="EY420" s="39" t="e">
        <f t="shared" si="1663"/>
        <v>#REF!</v>
      </c>
      <c r="EZ420" s="39"/>
      <c r="FA420" s="39"/>
      <c r="FB420" s="39"/>
      <c r="FC420" s="39"/>
      <c r="FD420" s="39"/>
      <c r="FE420" s="39"/>
      <c r="FF420" s="39" t="e">
        <f>+EL420/AY420*100-100</f>
        <v>#REF!</v>
      </c>
      <c r="FG420" s="39"/>
      <c r="FH420" s="39"/>
      <c r="FI420" s="39"/>
      <c r="FJ420" s="51" t="e">
        <f>+#REF!+FJ21+#REF!+FJ54+#REF!+FJ69+#REF!+FJ80+FJ92+FJ107+FJ110+FJ112+FJ121+#REF!+FJ130+#REF!+#REF!+FJ163+#REF!+#REF!+FJ206+FJ214+FJ236+#REF!+FJ251+#REF!+#REF!+FJ303+FJ318+FJ323+FJ326+FJ341+#REF!+FJ354+#REF!+FJ369+#REF!+FJ399+#REF!+FJ96+FJ158+FJ160+FJ262</f>
        <v>#REF!</v>
      </c>
      <c r="FK420" s="51" t="e">
        <f>+#REF!+FK21+#REF!+FK54+#REF!+FK69+#REF!+FK80+FK92+FK107+FK110+FK112+FK121+#REF!+FK130+#REF!+#REF!+FK163+#REF!+#REF!+FK206+FK214+FK236+#REF!+FK251+#REF!+#REF!+FK303+FK318+FK323+FK326+FK341+#REF!+FK354+#REF!+FK369+#REF!+FK399+#REF!+FK96+FK158+FK160+FK262+#REF!</f>
        <v>#REF!</v>
      </c>
      <c r="FL420" s="46"/>
      <c r="FM420" s="83" t="e">
        <f>+#REF!+FM21+#REF!+FM54+#REF!+#REF!+FM69+FM80+FM92+FM96+FM107+FM110+FM112+FM121+FM130+#REF!+FM158+FM160+FM163+#REF!+#REF!+FM191+FM214+FM236+FM251+FM262+#REF!+FM303+FM318+FM323+FM326+FM341+FM354+FM361+FM369+FM399+#REF!+#REF!</f>
        <v>#REF!</v>
      </c>
      <c r="FN420" s="83" t="e">
        <f>+#REF!+FN21+#REF!+FN54+#REF!+#REF!+FN69+FN80+FN92+FN96+FN107+FN110+FN112+FN121+FN130+#REF!+FN158+FN160+FN163+#REF!+#REF!+FN191+FN214+FN236+FN251+FN262+#REF!+FN303+FN318+FN323+FN326+FN341+FN354+FN361+FN369+FN399+#REF!+#REF!</f>
        <v>#REF!</v>
      </c>
      <c r="FO420" s="39">
        <f t="shared" si="1624"/>
        <v>0</v>
      </c>
      <c r="FP420" s="39"/>
      <c r="FQ420" s="39"/>
      <c r="FR420" s="39">
        <f t="shared" si="1625"/>
        <v>0</v>
      </c>
      <c r="FS420" s="39"/>
      <c r="FT420" s="39"/>
      <c r="FU420" s="39"/>
      <c r="FV420" s="51" t="e">
        <f>+#REF!+FV21+#REF!+FV54+#REF!+#REF!+FV69+FV80+FV92+FV96+FV107+FV110+FV112+FV121+FV130+#REF!+FV158+FV160+FV163+#REF!+#REF!+FV191+FV214+FV236+FV251+FV262+#REF!+FV303+FV318+FV323+FV326+FV341+FV354+FV361+FV369+FV399+#REF!+#REF!</f>
        <v>#REF!</v>
      </c>
      <c r="FW420" s="51" t="e">
        <f>+#REF!+FW21+#REF!+FW54+#REF!+#REF!+FW69+FW80+FW92+FW96+FW107+FW110+FW112+FW121+FW130+#REF!+FW158+FW160+FW163+#REF!+#REF!+FW191+FW214+FW236+FW251+FW262+#REF!+FW303+FW318+FW323+FW326+FW341+FW354+FW361+FW369+FW399+#REF!+#REF!+FW277+FW11</f>
        <v>#REF!</v>
      </c>
      <c r="FX420" s="165" t="e">
        <f t="shared" si="1629"/>
        <v>#REF!</v>
      </c>
      <c r="FY420" s="19" t="e">
        <f>+#REF!+FY21+#REF!+FY54+#REF!+#REF!+FY69+FY80+FY92+FY96+FY107+FY110+FY112+FY121+FY130+#REF!+FY158+FY160+FY163+#REF!+#REF!+FY191+FY214+FY236+FY251+FY262+#REF!+FY303+FY318+FY323+FY326+FY341+FY354+FY361+FY369+FY399+#REF!+#REF!</f>
        <v>#REF!</v>
      </c>
      <c r="FZ420" s="19" t="e">
        <f>+#REF!+FZ21+#REF!+FZ54+#REF!+#REF!+FZ69+FZ80+FZ92+FZ96+FZ107+FZ110+FZ112+FZ121+FZ130+#REF!+FZ158+FZ160+FZ163+#REF!+#REF!+FZ191+FZ214+FZ236+FZ251+FZ262+#REF!+FZ303+FZ318+FZ323+FZ326+FZ341+FZ354+FZ361+FZ369+FZ399+#REF!+#REF!</f>
        <v>#REF!</v>
      </c>
      <c r="GA420" s="19" t="e">
        <f>+#REF!+GA21+#REF!+GA54+#REF!+#REF!+GA69+GA80+GA92+GA96+GA107+GA110+GA112+GA121+GA130+#REF!+GA158+GA160+GA163+#REF!+#REF!+GA191+GA214+GA236+GA251+GA262+#REF!+GA303+GA318+GA323+GA326+GA341+GA354+GA361+GA369+GA399+#REF!+#REF!</f>
        <v>#REF!</v>
      </c>
      <c r="GB420" s="19" t="e">
        <f>+#REF!+GB21+#REF!+GB54+#REF!+#REF!+GB69+GB80+GB92+GB96+GB107+GB110+GB112+GB121+GB130+#REF!+GB158+GB160+GB163+#REF!+#REF!+GB191+GB214+GB236+GB251+GB262+#REF!+GB303+GB318+GB323+GB326+GB341+GB354+GB361+GB369+GB399+#REF!+#REF!</f>
        <v>#REF!</v>
      </c>
      <c r="GC420" s="20" t="e">
        <f t="shared" si="1632"/>
        <v>#REF!</v>
      </c>
      <c r="GD420" s="20" t="e">
        <f t="shared" ref="GD420:GD443" si="1669">+IF(GB420=0,,GA420/GB420*100)</f>
        <v>#REF!</v>
      </c>
      <c r="GE420" s="21" t="e">
        <f>+#REF!+GE21+#REF!+GE54+#REF!+#REF!+GE69+GE80+GE92+GE96+GE107+GE110+GE112+GE121+GE130+#REF!+GE158+GE160+GE163+#REF!+#REF!+GE191+GE214+GE236+GE251+GE262+#REF!+GE303+GE318+GE323+GE326+GE341+GE354+GE361+GE369+GE399+#REF!+#REF!</f>
        <v>#REF!</v>
      </c>
      <c r="GF420" s="21" t="e">
        <f>+#REF!+GF21+#REF!+GF54+#REF!+#REF!+GF69+GF80+GF92+GF96+GF107+GF110+GF112+GF121+GF130+#REF!+GF158+GF160+GF163+#REF!+#REF!+GF191+GF214+GF236+GF251+GF262+#REF!+GF303+GF318+GF323+GF326+GF341+GF354+GF361+GF369+GF399+#REF!+#REF!</f>
        <v>#REF!</v>
      </c>
      <c r="GG420" s="48" t="e">
        <f t="shared" si="1653"/>
        <v>#REF!</v>
      </c>
      <c r="GH420" s="48" t="e">
        <f t="shared" si="1653"/>
        <v>#REF!</v>
      </c>
      <c r="GI420" s="21" t="e">
        <f>+#REF!+GI21+#REF!+GI54+#REF!+#REF!+GI69+GI80+GI92+GI96+GI107+GI110+GI112+GI121+GI130+#REF!+GI158+GI160+GI163+#REF!+#REF!+GI191+GI214+GI236+GI251+GI262+#REF!+GI303+GI318+GI323+GI326+GI341+GI354+GI361+GI369+GI399+#REF!+#REF!</f>
        <v>#REF!</v>
      </c>
      <c r="GJ420" s="21" t="e">
        <f>+#REF!+GJ21+#REF!+GJ54+#REF!+#REF!+GJ69+GJ80+GJ92+GJ96+GJ107+GJ110+GJ112+GJ121+GJ130+#REF!+GJ158+GJ160+GJ163+#REF!+#REF!+GJ191+GJ214+GJ236+GJ251+GJ262+#REF!+GJ303+GJ318+GJ323+GJ326+GJ341+GJ354+GJ361+GJ369+GJ399+#REF!+#REF!</f>
        <v>#REF!</v>
      </c>
      <c r="GK420" s="48" t="e">
        <f t="shared" si="1654"/>
        <v>#REF!</v>
      </c>
      <c r="GL420" s="48" t="e">
        <f t="shared" si="1654"/>
        <v>#REF!</v>
      </c>
      <c r="GM420" s="83" t="e">
        <f>+#REF!+GM11+GM21+#REF!+GM54+#REF!+#REF!+GM69+GM80+GM92+GM96+GM107+GM110+GM112+GM121+GM130+#REF!+#REF!+GM158+GM160+GM163+#REF!+GM179+#REF!+#REF!+GM191+#REF!+GM206+GM214+GM236+#REF!+GM251+#REF!+GM262+#REF!+GM277+GM303+GM318+GM323+GM326+GM341+#REF!+GM354+#REF!+GM361+GM369+#REF!+GM399</f>
        <v>#REF!</v>
      </c>
      <c r="GN420" s="83" t="e">
        <f>+#REF!+GN11+GN21+#REF!+GN54+#REF!+#REF!+GN69+GN80+GN92+GN96+GN107+GN110+GN112+GN121+GN130+#REF!+#REF!+GN158+GN160+GN163+#REF!+GN179+#REF!+#REF!+GN191+#REF!+GN206+GN214+GN236+#REF!+GN251+#REF!+GN262+#REF!+GN277+GN303+GN318+GN323+GN326+GN341+#REF!+GN354+#REF!+GN361+GN369+#REF!+GN399</f>
        <v>#REF!</v>
      </c>
      <c r="GO420" s="166" t="e">
        <f t="shared" si="1664"/>
        <v>#REF!</v>
      </c>
      <c r="GP420" s="166" t="e">
        <f t="shared" si="1665"/>
        <v>#REF!</v>
      </c>
      <c r="GQ420" s="39"/>
      <c r="GR420" s="39" t="e">
        <f t="shared" si="1666"/>
        <v>#REF!</v>
      </c>
      <c r="GS420" s="39"/>
      <c r="GT420" s="22"/>
      <c r="GU420" s="167"/>
      <c r="GV420" s="51" t="e">
        <f>+#REF!+GV11+GV21+#REF!+GV54+#REF!+#REF!+GV69+GV80+GV92+GV96+GV107+GV110+GV112+GV121+GV130+#REF!+#REF!+GV158+GV160+GV163+#REF!+GV179+#REF!+#REF!+GV191+#REF!+GV206+GV214+GV236+#REF!+GV251+#REF!+GV262+#REF!+GV277+GV303+GV318+GV323+GV326+GV341+#REF!+GV354+#REF!+GV361+GV369+#REF!+GV399</f>
        <v>#REF!</v>
      </c>
      <c r="GW420" s="51" t="e">
        <f>+#REF!+GW11+GW21+#REF!+GW54+#REF!+#REF!+GW69+GW80+GW92+GW96+GW107+GW110+GW112+GW121+GW130+#REF!+#REF!+GW158+GW160+GW163+#REF!+GW179+#REF!+#REF!+GW191+#REF!+GW206+GW214+GW236+#REF!+GW251+#REF!+GW262+#REF!+GW277+GW303+GW318+GW323+GW326+GW341+#REF!+GW354+#REF!+GW361+GW369+#REF!+GW399</f>
        <v>#REF!</v>
      </c>
      <c r="GX420" s="51" t="e">
        <f>+#REF!+GX11+GX21+#REF!+GX54+#REF!+#REF!+GX69+GX80+GX92+GX96+GX107+GX110+GX112+GX121+GX130+#REF!+#REF!+GX158+GX160+GX163+#REF!+GX179+#REF!+#REF!+GX191+#REF!+GX206+GX214+GX236+#REF!+GX251+#REF!+GX262+#REF!+GX277+GX303+GX318+GX323+GX326+GX341+#REF!+GX354+#REF!+GX361+GX369+#REF!+GX399</f>
        <v>#REF!</v>
      </c>
      <c r="GY420" s="51" t="e">
        <f>+#REF!+GY11+GY21+#REF!+GY54+#REF!+#REF!+GY69+GY80+GY92+GY96+GY107+GY110+GY112+GY121+GY130+#REF!+#REF!+GY158+GY160+GY163+#REF!+GY179+#REF!+#REF!+GY191+#REF!+GY206+GY214+GY236+#REF!+GY251+#REF!+GY262+#REF!+GY277+GY303+GY318+GY323+GY326+GY341+#REF!+GY354+#REF!+GY361+GY369+#REF!+GY399</f>
        <v>#REF!</v>
      </c>
      <c r="GZ420" s="20" t="e">
        <f t="shared" si="1640"/>
        <v>#REF!</v>
      </c>
      <c r="HA420" s="39">
        <f t="shared" si="1667"/>
        <v>0</v>
      </c>
      <c r="HB420" s="39"/>
      <c r="HC420" s="39"/>
      <c r="HD420" s="39">
        <f t="shared" si="1668"/>
        <v>0</v>
      </c>
      <c r="HE420" s="39"/>
      <c r="HF420" s="207"/>
      <c r="HG420" s="172"/>
    </row>
    <row r="421" spans="1:215" s="14" customFormat="1" ht="16.149999999999999" hidden="1" customHeight="1" thickBot="1">
      <c r="A421" s="1"/>
      <c r="B421" s="7"/>
      <c r="C421" s="199" t="s">
        <v>148</v>
      </c>
      <c r="D421" s="206"/>
      <c r="E421" s="75"/>
      <c r="F421" s="75"/>
      <c r="G421" s="75"/>
      <c r="H421" s="75"/>
      <c r="I421" s="75"/>
      <c r="J421" s="75"/>
      <c r="K421" s="75"/>
      <c r="L421" s="75"/>
      <c r="M421" s="206"/>
      <c r="N421" s="75"/>
      <c r="O421" s="75"/>
      <c r="P421" s="75"/>
      <c r="Q421" s="75"/>
      <c r="R421" s="75"/>
      <c r="S421" s="75"/>
      <c r="T421" s="75"/>
      <c r="U421" s="75"/>
      <c r="V421" s="39"/>
      <c r="W421" s="39"/>
      <c r="X421" s="22"/>
      <c r="Y421" s="39"/>
      <c r="Z421" s="79"/>
      <c r="AA421" s="39"/>
      <c r="AB421" s="79"/>
      <c r="AC421" s="19"/>
      <c r="AD421" s="19"/>
      <c r="AE421" s="50"/>
      <c r="AF421" s="19"/>
      <c r="AG421" s="19"/>
      <c r="AH421" s="39"/>
      <c r="AI421" s="39"/>
      <c r="AJ421" s="39"/>
      <c r="AK421" s="39"/>
      <c r="AL421" s="22"/>
      <c r="AM421" s="39"/>
      <c r="AN421" s="39"/>
      <c r="AO421" s="39"/>
      <c r="AP421" s="39"/>
      <c r="AQ421" s="39"/>
      <c r="AR421" s="39"/>
      <c r="AS421" s="50"/>
      <c r="AT421" s="39"/>
      <c r="AU421" s="39"/>
      <c r="AV421" s="77"/>
      <c r="AW421" s="77"/>
      <c r="AX421" s="78"/>
      <c r="AY421" s="171"/>
      <c r="AZ421" s="171"/>
      <c r="BA421" s="171"/>
      <c r="BB421" s="171"/>
      <c r="BC421" s="39"/>
      <c r="BD421" s="39"/>
      <c r="BE421" s="22"/>
      <c r="BF421" s="39"/>
      <c r="BG421" s="39"/>
      <c r="BH421" s="22"/>
      <c r="BI421" s="22"/>
      <c r="BJ421" s="40"/>
      <c r="BK421" s="75"/>
      <c r="BL421" s="75"/>
      <c r="BM421" s="75"/>
      <c r="BN421" s="75"/>
      <c r="BO421" s="75"/>
      <c r="BP421" s="75"/>
      <c r="BQ421" s="75"/>
      <c r="BR421" s="75"/>
      <c r="BS421" s="75"/>
      <c r="BT421" s="75"/>
      <c r="BU421" s="75"/>
      <c r="BV421" s="75"/>
      <c r="BW421" s="75"/>
      <c r="BX421" s="75"/>
      <c r="BY421" s="75"/>
      <c r="BZ421" s="75"/>
      <c r="CA421" s="75"/>
      <c r="CB421" s="75"/>
      <c r="CC421" s="75"/>
      <c r="CD421" s="75"/>
      <c r="CE421" s="48"/>
      <c r="CF421" s="48"/>
      <c r="CG421" s="48"/>
      <c r="CH421" s="48"/>
      <c r="CI421" s="48"/>
      <c r="CJ421" s="48"/>
      <c r="CK421" s="48"/>
      <c r="CL421" s="48"/>
      <c r="CM421" s="48"/>
      <c r="CN421" s="48"/>
      <c r="CO421" s="48"/>
      <c r="CP421" s="48"/>
      <c r="CQ421" s="48"/>
      <c r="CR421" s="48"/>
      <c r="CS421" s="48"/>
      <c r="CT421" s="48"/>
      <c r="CU421" s="48"/>
      <c r="CV421" s="48"/>
      <c r="CW421" s="75"/>
      <c r="CX421" s="75"/>
      <c r="CY421" s="75"/>
      <c r="CZ421" s="75"/>
      <c r="DA421" s="20"/>
      <c r="DB421" s="20"/>
      <c r="DC421" s="51"/>
      <c r="DD421" s="51"/>
      <c r="DE421" s="75"/>
      <c r="DF421" s="75"/>
      <c r="DG421" s="75"/>
      <c r="DH421" s="75"/>
      <c r="DI421" s="39"/>
      <c r="DJ421" s="75"/>
      <c r="DK421" s="75"/>
      <c r="DL421" s="75"/>
      <c r="DM421" s="48"/>
      <c r="DN421" s="39"/>
      <c r="DO421" s="39"/>
      <c r="DP421" s="39"/>
      <c r="DQ421" s="39"/>
      <c r="DR421" s="39"/>
      <c r="DS421" s="39"/>
      <c r="DT421" s="39"/>
      <c r="DU421" s="39"/>
      <c r="DV421" s="171"/>
      <c r="DW421" s="171"/>
      <c r="DX421" s="20"/>
      <c r="DY421" s="20"/>
      <c r="DZ421" s="171"/>
      <c r="EA421" s="171"/>
      <c r="EB421" s="171"/>
      <c r="EC421" s="171" t="e">
        <f>+EC393+#REF!</f>
        <v>#REF!</v>
      </c>
      <c r="ED421" s="171" t="e">
        <f>+ED393+#REF!</f>
        <v>#REF!</v>
      </c>
      <c r="EE421" s="19"/>
      <c r="EF421" s="39"/>
      <c r="EG421" s="39"/>
      <c r="EH421" s="39"/>
      <c r="EI421" s="39"/>
      <c r="EJ421" s="22"/>
      <c r="EK421" s="39"/>
      <c r="EL421" s="83" t="e">
        <f>+EL393+#REF!</f>
        <v>#REF!</v>
      </c>
      <c r="EM421" s="83" t="e">
        <f>+EM393+#REF!</f>
        <v>#REF!</v>
      </c>
      <c r="EN421" s="205" t="e">
        <f>+EN393+#REF!</f>
        <v>#REF!</v>
      </c>
      <c r="EO421" s="205" t="e">
        <f>+EO393+#REF!</f>
        <v>#REF!</v>
      </c>
      <c r="EP421" s="205"/>
      <c r="EQ421" s="21" t="e">
        <f t="shared" si="1623"/>
        <v>#REF!</v>
      </c>
      <c r="ER421" s="21"/>
      <c r="ES421" s="21"/>
      <c r="ET421" s="19" t="e">
        <f t="shared" si="1656"/>
        <v>#REF!</v>
      </c>
      <c r="EU421" s="21"/>
      <c r="EV421" s="48" t="e">
        <f t="shared" si="1657"/>
        <v>#REF!</v>
      </c>
      <c r="EW421" s="39"/>
      <c r="EX421" s="166" t="e">
        <f t="shared" si="1663"/>
        <v>#REF!</v>
      </c>
      <c r="EY421" s="39" t="e">
        <f t="shared" si="1663"/>
        <v>#REF!</v>
      </c>
      <c r="EZ421" s="39"/>
      <c r="FA421" s="39"/>
      <c r="FB421" s="39"/>
      <c r="FC421" s="39"/>
      <c r="FD421" s="39"/>
      <c r="FE421" s="39"/>
      <c r="FF421" s="39" t="e">
        <f>+EL421/AY421*100-100</f>
        <v>#REF!</v>
      </c>
      <c r="FG421" s="39"/>
      <c r="FH421" s="39"/>
      <c r="FI421" s="39"/>
      <c r="FJ421" s="51" t="e">
        <f>+FJ393+#REF!</f>
        <v>#REF!</v>
      </c>
      <c r="FK421" s="51" t="e">
        <f>+FK393+#REF!</f>
        <v>#REF!</v>
      </c>
      <c r="FL421" s="46"/>
      <c r="FM421" s="83" t="e">
        <f>+FM393+#REF!+#REF!</f>
        <v>#REF!</v>
      </c>
      <c r="FN421" s="83" t="e">
        <f>+FN393+#REF!</f>
        <v>#REF!</v>
      </c>
      <c r="FO421" s="39">
        <f t="shared" si="1624"/>
        <v>0</v>
      </c>
      <c r="FP421" s="39"/>
      <c r="FQ421" s="39"/>
      <c r="FR421" s="39">
        <f t="shared" si="1625"/>
        <v>0</v>
      </c>
      <c r="FS421" s="39"/>
      <c r="FT421" s="39"/>
      <c r="FU421" s="39"/>
      <c r="FV421" s="51" t="e">
        <f>+FV393+#REF!+#REF!</f>
        <v>#REF!</v>
      </c>
      <c r="FW421" s="51" t="e">
        <f>+FW393+#REF!+#REF!</f>
        <v>#REF!</v>
      </c>
      <c r="FX421" s="165" t="e">
        <f t="shared" si="1629"/>
        <v>#REF!</v>
      </c>
      <c r="FY421" s="19" t="e">
        <f>+FY393+#REF!+#REF!</f>
        <v>#REF!</v>
      </c>
      <c r="FZ421" s="19" t="e">
        <f>+FZ393+#REF!+#REF!</f>
        <v>#REF!</v>
      </c>
      <c r="GA421" s="19" t="e">
        <f>+GA393+#REF!+#REF!</f>
        <v>#REF!</v>
      </c>
      <c r="GB421" s="19" t="e">
        <f>+GB393+#REF!+#REF!</f>
        <v>#REF!</v>
      </c>
      <c r="GC421" s="20" t="e">
        <f t="shared" si="1632"/>
        <v>#REF!</v>
      </c>
      <c r="GD421" s="20" t="e">
        <f t="shared" si="1669"/>
        <v>#REF!</v>
      </c>
      <c r="GE421" s="21" t="e">
        <f>+GE393+#REF!+#REF!</f>
        <v>#REF!</v>
      </c>
      <c r="GF421" s="21" t="e">
        <f>+GF393+#REF!+#REF!</f>
        <v>#REF!</v>
      </c>
      <c r="GG421" s="48" t="e">
        <f t="shared" si="1653"/>
        <v>#REF!</v>
      </c>
      <c r="GH421" s="48"/>
      <c r="GI421" s="21" t="e">
        <f>+GI393+#REF!+#REF!</f>
        <v>#REF!</v>
      </c>
      <c r="GJ421" s="21" t="e">
        <f>+GJ393+#REF!+#REF!</f>
        <v>#REF!</v>
      </c>
      <c r="GK421" s="48" t="e">
        <f t="shared" si="1654"/>
        <v>#REF!</v>
      </c>
      <c r="GL421" s="48"/>
      <c r="GM421" s="83" t="e">
        <f>+GM393+#REF!</f>
        <v>#REF!</v>
      </c>
      <c r="GN421" s="83" t="e">
        <f>+GN393+#REF!</f>
        <v>#REF!</v>
      </c>
      <c r="GO421" s="166" t="e">
        <f t="shared" si="1664"/>
        <v>#DIV/0!</v>
      </c>
      <c r="GP421" s="166" t="e">
        <f t="shared" si="1665"/>
        <v>#REF!</v>
      </c>
      <c r="GQ421" s="39"/>
      <c r="GR421" s="39" t="e">
        <f t="shared" si="1666"/>
        <v>#REF!</v>
      </c>
      <c r="GS421" s="39"/>
      <c r="GT421" s="22"/>
      <c r="GU421" s="167"/>
      <c r="GV421" s="51" t="e">
        <f>+GV393+#REF!</f>
        <v>#REF!</v>
      </c>
      <c r="GW421" s="51" t="e">
        <f>+GW393+#REF!</f>
        <v>#REF!</v>
      </c>
      <c r="GX421" s="51" t="e">
        <f>+GX393+#REF!</f>
        <v>#REF!</v>
      </c>
      <c r="GY421" s="51" t="e">
        <f>+GY393+#REF!</f>
        <v>#REF!</v>
      </c>
      <c r="GZ421" s="20"/>
      <c r="HA421" s="39">
        <f t="shared" si="1667"/>
        <v>0</v>
      </c>
      <c r="HB421" s="39"/>
      <c r="HC421" s="39"/>
      <c r="HD421" s="39">
        <f t="shared" si="1668"/>
        <v>0</v>
      </c>
      <c r="HE421" s="39"/>
      <c r="HF421" s="207"/>
      <c r="HG421" s="172"/>
    </row>
    <row r="422" spans="1:215" s="14" customFormat="1" ht="16.149999999999999" hidden="1" customHeight="1" thickBot="1">
      <c r="A422" s="1"/>
      <c r="B422" s="7"/>
      <c r="C422" s="199" t="s">
        <v>148</v>
      </c>
      <c r="D422" s="206"/>
      <c r="E422" s="75"/>
      <c r="F422" s="75"/>
      <c r="G422" s="75"/>
      <c r="H422" s="75"/>
      <c r="I422" s="75"/>
      <c r="J422" s="75"/>
      <c r="K422" s="75"/>
      <c r="L422" s="75"/>
      <c r="M422" s="206"/>
      <c r="N422" s="75"/>
      <c r="O422" s="75"/>
      <c r="P422" s="75"/>
      <c r="Q422" s="75"/>
      <c r="R422" s="75"/>
      <c r="S422" s="75"/>
      <c r="T422" s="75"/>
      <c r="U422" s="75"/>
      <c r="V422" s="39"/>
      <c r="W422" s="39"/>
      <c r="X422" s="22"/>
      <c r="Y422" s="39"/>
      <c r="Z422" s="79"/>
      <c r="AA422" s="39"/>
      <c r="AB422" s="79"/>
      <c r="AC422" s="19"/>
      <c r="AD422" s="19"/>
      <c r="AE422" s="50"/>
      <c r="AF422" s="19"/>
      <c r="AG422" s="19"/>
      <c r="AH422" s="39"/>
      <c r="AI422" s="39"/>
      <c r="AJ422" s="39"/>
      <c r="AK422" s="39"/>
      <c r="AL422" s="22"/>
      <c r="AM422" s="39"/>
      <c r="AN422" s="39"/>
      <c r="AO422" s="39"/>
      <c r="AP422" s="39"/>
      <c r="AQ422" s="39"/>
      <c r="AR422" s="39"/>
      <c r="AS422" s="50"/>
      <c r="AT422" s="39"/>
      <c r="AU422" s="39"/>
      <c r="AV422" s="77"/>
      <c r="AW422" s="77"/>
      <c r="AX422" s="78"/>
      <c r="AY422" s="171"/>
      <c r="AZ422" s="171"/>
      <c r="BA422" s="171"/>
      <c r="BB422" s="171"/>
      <c r="BC422" s="39"/>
      <c r="BD422" s="39"/>
      <c r="BE422" s="22"/>
      <c r="BF422" s="39"/>
      <c r="BG422" s="39"/>
      <c r="BH422" s="22"/>
      <c r="BI422" s="22"/>
      <c r="BJ422" s="40"/>
      <c r="BK422" s="75"/>
      <c r="BL422" s="75"/>
      <c r="BM422" s="75"/>
      <c r="BN422" s="75"/>
      <c r="BO422" s="75"/>
      <c r="BP422" s="75"/>
      <c r="BQ422" s="75"/>
      <c r="BR422" s="75"/>
      <c r="BS422" s="75"/>
      <c r="BT422" s="75"/>
      <c r="BU422" s="75"/>
      <c r="BV422" s="75"/>
      <c r="BW422" s="75"/>
      <c r="BX422" s="75"/>
      <c r="BY422" s="75"/>
      <c r="BZ422" s="75"/>
      <c r="CA422" s="75"/>
      <c r="CB422" s="75"/>
      <c r="CC422" s="75"/>
      <c r="CD422" s="75"/>
      <c r="CE422" s="48"/>
      <c r="CF422" s="48"/>
      <c r="CG422" s="48"/>
      <c r="CH422" s="48"/>
      <c r="CI422" s="48"/>
      <c r="CJ422" s="48"/>
      <c r="CK422" s="48"/>
      <c r="CL422" s="48"/>
      <c r="CM422" s="48"/>
      <c r="CN422" s="48"/>
      <c r="CO422" s="48"/>
      <c r="CP422" s="48"/>
      <c r="CQ422" s="48"/>
      <c r="CR422" s="48"/>
      <c r="CS422" s="48"/>
      <c r="CT422" s="48"/>
      <c r="CU422" s="48"/>
      <c r="CV422" s="48"/>
      <c r="CW422" s="75"/>
      <c r="CX422" s="75"/>
      <c r="CY422" s="75"/>
      <c r="CZ422" s="75"/>
      <c r="DA422" s="20"/>
      <c r="DB422" s="20"/>
      <c r="DC422" s="51"/>
      <c r="DD422" s="51"/>
      <c r="DE422" s="75"/>
      <c r="DF422" s="75"/>
      <c r="DG422" s="75"/>
      <c r="DH422" s="75"/>
      <c r="DI422" s="39"/>
      <c r="DJ422" s="75"/>
      <c r="DK422" s="75"/>
      <c r="DL422" s="75"/>
      <c r="DM422" s="48"/>
      <c r="DN422" s="39"/>
      <c r="DO422" s="39"/>
      <c r="DP422" s="39"/>
      <c r="DQ422" s="39"/>
      <c r="DR422" s="39"/>
      <c r="DS422" s="39"/>
      <c r="DT422" s="39"/>
      <c r="DU422" s="39"/>
      <c r="DV422" s="171"/>
      <c r="DW422" s="171"/>
      <c r="DX422" s="20"/>
      <c r="DY422" s="20"/>
      <c r="DZ422" s="171"/>
      <c r="EA422" s="171"/>
      <c r="EB422" s="171"/>
      <c r="EC422" s="171" t="e">
        <f>+EC403+EC345+#REF!+EC161+#REF!</f>
        <v>#REF!</v>
      </c>
      <c r="ED422" s="171" t="e">
        <f>+ED403+ED345+#REF!+ED161+#REF!</f>
        <v>#REF!</v>
      </c>
      <c r="EE422" s="19"/>
      <c r="EF422" s="39"/>
      <c r="EG422" s="39"/>
      <c r="EH422" s="39"/>
      <c r="EI422" s="39"/>
      <c r="EJ422" s="22"/>
      <c r="EK422" s="39"/>
      <c r="EL422" s="83" t="e">
        <f>+EL403+EL345+#REF!+EL161+#REF!</f>
        <v>#REF!</v>
      </c>
      <c r="EM422" s="83" t="e">
        <f>+EM403+EM345+#REF!+EM161+#REF!</f>
        <v>#REF!</v>
      </c>
      <c r="EN422" s="205" t="e">
        <f>+EN403+EN345+#REF!+EN161+#REF!</f>
        <v>#REF!</v>
      </c>
      <c r="EO422" s="205" t="e">
        <f>+EO403+EO345+#REF!+EO161+#REF!</f>
        <v>#REF!</v>
      </c>
      <c r="EP422" s="205"/>
      <c r="EQ422" s="21" t="e">
        <f t="shared" si="1623"/>
        <v>#REF!</v>
      </c>
      <c r="ER422" s="21"/>
      <c r="ES422" s="21"/>
      <c r="ET422" s="19" t="e">
        <f t="shared" si="1656"/>
        <v>#REF!</v>
      </c>
      <c r="EU422" s="21"/>
      <c r="EV422" s="48" t="e">
        <f t="shared" si="1657"/>
        <v>#REF!</v>
      </c>
      <c r="EW422" s="39"/>
      <c r="EX422" s="166" t="e">
        <f t="shared" si="1663"/>
        <v>#REF!</v>
      </c>
      <c r="EY422" s="39" t="e">
        <f t="shared" si="1663"/>
        <v>#REF!</v>
      </c>
      <c r="EZ422" s="39"/>
      <c r="FA422" s="39"/>
      <c r="FB422" s="39"/>
      <c r="FC422" s="39"/>
      <c r="FD422" s="39"/>
      <c r="FE422" s="39"/>
      <c r="FF422" s="39" t="e">
        <f>+EL422/AY422*100-100</f>
        <v>#REF!</v>
      </c>
      <c r="FG422" s="39"/>
      <c r="FH422" s="39"/>
      <c r="FI422" s="39"/>
      <c r="FJ422" s="51" t="e">
        <f>+FJ403+FJ345+#REF!+FJ161+#REF!</f>
        <v>#REF!</v>
      </c>
      <c r="FK422" s="51" t="e">
        <f>+FK403+FK345+#REF!+FK161+#REF!</f>
        <v>#REF!</v>
      </c>
      <c r="FL422" s="46"/>
      <c r="FM422" s="83" t="e">
        <f>+FM403+FM345+#REF!+FM161+#REF!</f>
        <v>#REF!</v>
      </c>
      <c r="FN422" s="83" t="e">
        <f>+FN403+FN345+#REF!+FN161+#REF!</f>
        <v>#REF!</v>
      </c>
      <c r="FO422" s="39">
        <f t="shared" si="1624"/>
        <v>0</v>
      </c>
      <c r="FP422" s="39"/>
      <c r="FQ422" s="39"/>
      <c r="FR422" s="39">
        <f t="shared" si="1625"/>
        <v>0</v>
      </c>
      <c r="FS422" s="39"/>
      <c r="FT422" s="39"/>
      <c r="FU422" s="39"/>
      <c r="FV422" s="51" t="e">
        <f>+FV403+FV345+#REF!+FV161+#REF!</f>
        <v>#REF!</v>
      </c>
      <c r="FW422" s="51" t="e">
        <f>+FW403+FW345+#REF!+FW161+#REF!</f>
        <v>#REF!</v>
      </c>
      <c r="FX422" s="165" t="e">
        <f t="shared" si="1629"/>
        <v>#REF!</v>
      </c>
      <c r="FY422" s="19" t="e">
        <f>+FY403+FY345+#REF!+FY161+#REF!</f>
        <v>#REF!</v>
      </c>
      <c r="FZ422" s="19" t="e">
        <f>+FZ403+FZ345+#REF!+FZ161+#REF!</f>
        <v>#REF!</v>
      </c>
      <c r="GA422" s="19" t="e">
        <f>+GA403+GA345+#REF!+GA161+#REF!</f>
        <v>#REF!</v>
      </c>
      <c r="GB422" s="19" t="e">
        <f>+GB403+GB345+#REF!+GB161+#REF!</f>
        <v>#REF!</v>
      </c>
      <c r="GC422" s="20" t="e">
        <f t="shared" si="1632"/>
        <v>#REF!</v>
      </c>
      <c r="GD422" s="20" t="e">
        <f t="shared" si="1669"/>
        <v>#REF!</v>
      </c>
      <c r="GE422" s="21" t="e">
        <f>+GE403+GE345+#REF!+GE161+#REF!</f>
        <v>#REF!</v>
      </c>
      <c r="GF422" s="21" t="e">
        <f>+GF403+GF345+#REF!+GF161+#REF!</f>
        <v>#REF!</v>
      </c>
      <c r="GG422" s="48" t="e">
        <f t="shared" si="1653"/>
        <v>#REF!</v>
      </c>
      <c r="GH422" s="48"/>
      <c r="GI422" s="21" t="e">
        <f>+GI403+GI345+#REF!+GI161+#REF!</f>
        <v>#REF!</v>
      </c>
      <c r="GJ422" s="21" t="e">
        <f>+GJ403+GJ345+#REF!+GJ161+#REF!</f>
        <v>#REF!</v>
      </c>
      <c r="GK422" s="48" t="e">
        <f t="shared" si="1654"/>
        <v>#REF!</v>
      </c>
      <c r="GL422" s="48"/>
      <c r="GM422" s="83"/>
      <c r="GN422" s="83"/>
      <c r="GO422" s="166" t="e">
        <f t="shared" si="1664"/>
        <v>#DIV/0!</v>
      </c>
      <c r="GP422" s="166" t="e">
        <f t="shared" si="1665"/>
        <v>#REF!</v>
      </c>
      <c r="GQ422" s="39"/>
      <c r="GR422" s="39" t="e">
        <f t="shared" si="1666"/>
        <v>#REF!</v>
      </c>
      <c r="GS422" s="39"/>
      <c r="GT422" s="22"/>
      <c r="GU422" s="167"/>
      <c r="GV422" s="51"/>
      <c r="GW422" s="51"/>
      <c r="GX422" s="51"/>
      <c r="GY422" s="51"/>
      <c r="GZ422" s="20"/>
      <c r="HA422" s="39">
        <f t="shared" si="1667"/>
        <v>0</v>
      </c>
      <c r="HB422" s="39"/>
      <c r="HC422" s="39"/>
      <c r="HD422" s="39">
        <f t="shared" si="1668"/>
        <v>0</v>
      </c>
      <c r="HE422" s="39"/>
      <c r="HF422" s="207"/>
      <c r="HG422" s="172"/>
    </row>
    <row r="423" spans="1:215" s="14" customFormat="1" ht="19.899999999999999" hidden="1" customHeight="1" thickBot="1">
      <c r="A423" s="1"/>
      <c r="B423" s="7"/>
      <c r="C423" s="199" t="s">
        <v>148</v>
      </c>
      <c r="D423" s="206"/>
      <c r="E423" s="75"/>
      <c r="F423" s="75"/>
      <c r="G423" s="75"/>
      <c r="H423" s="75"/>
      <c r="I423" s="75"/>
      <c r="J423" s="75"/>
      <c r="K423" s="75"/>
      <c r="L423" s="75"/>
      <c r="M423" s="206" t="e">
        <f>+#REF!+#REF!+#REF!+#REF!+#REF!+#REF!+#REF!+#REF!+#REF!+#REF!+#REF!+M229+#REF!+#REF!+#REF!+#REF!+#REF!+#REF!+#REF!</f>
        <v>#REF!</v>
      </c>
      <c r="N423" s="75" t="e">
        <f>+#REF!+#REF!+#REF!+#REF!+#REF!+#REF!+#REF!+#REF!+#REF!+#REF!+#REF!+N229+#REF!+#REF!+#REF!+#REF!+#REF!+#REF!+#REF!</f>
        <v>#REF!</v>
      </c>
      <c r="O423" s="75" t="e">
        <f>+#REF!+#REF!+#REF!+#REF!+#REF!+#REF!+#REF!+#REF!+#REF!+#REF!+#REF!+O229+#REF!+#REF!+#REF!+#REF!+#REF!+#REF!+#REF!</f>
        <v>#REF!</v>
      </c>
      <c r="P423" s="75" t="e">
        <f>+#REF!+#REF!+#REF!+#REF!+#REF!+#REF!+#REF!+#REF!+#REF!+#REF!+#REF!+P229+#REF!+#REF!+#REF!+#REF!+#REF!+#REF!+#REF!</f>
        <v>#REF!</v>
      </c>
      <c r="Q423" s="75" t="e">
        <f>+#REF!+#REF!+#REF!+#REF!+#REF!+#REF!+#REF!+#REF!+#REF!+#REF!+#REF!+Q229+#REF!+#REF!+#REF!+#REF!+#REF!+#REF!+#REF!</f>
        <v>#REF!</v>
      </c>
      <c r="R423" s="75" t="e">
        <f>+#REF!+#REF!+#REF!+#REF!+#REF!+#REF!+#REF!+#REF!+#REF!+#REF!+#REF!+R229+#REF!+#REF!+#REF!+#REF!+#REF!+#REF!+#REF!</f>
        <v>#REF!</v>
      </c>
      <c r="S423" s="75" t="e">
        <f>+#REF!+#REF!+#REF!+#REF!+#REF!+#REF!+#REF!+#REF!+#REF!+#REF!+#REF!+S229+#REF!+#REF!+#REF!+#REF!+#REF!+#REF!+#REF!</f>
        <v>#REF!</v>
      </c>
      <c r="T423" s="75" t="e">
        <f>+#REF!+#REF!+#REF!+#REF!+#REF!+#REF!+#REF!+#REF!+#REF!+#REF!+#REF!+T229+#REF!+#REF!+#REF!+#REF!+#REF!+#REF!+#REF!</f>
        <v>#REF!</v>
      </c>
      <c r="U423" s="75" t="e">
        <f>+#REF!+#REF!+#REF!+#REF!+#REF!+#REF!+#REF!+#REF!+#REF!+#REF!+#REF!+U229+#REF!+#REF!+#REF!+#REF!+#REF!+#REF!+#REF!</f>
        <v>#REF!</v>
      </c>
      <c r="V423" s="39"/>
      <c r="W423" s="39"/>
      <c r="X423" s="22"/>
      <c r="Y423" s="39"/>
      <c r="Z423" s="79"/>
      <c r="AA423" s="39"/>
      <c r="AB423" s="79"/>
      <c r="AC423" s="19"/>
      <c r="AD423" s="19"/>
      <c r="AE423" s="50"/>
      <c r="AF423" s="19"/>
      <c r="AG423" s="19"/>
      <c r="AH423" s="39"/>
      <c r="AI423" s="39"/>
      <c r="AJ423" s="39"/>
      <c r="AK423" s="39"/>
      <c r="AL423" s="22"/>
      <c r="AM423" s="39"/>
      <c r="AN423" s="39"/>
      <c r="AO423" s="39"/>
      <c r="AP423" s="39"/>
      <c r="AQ423" s="39"/>
      <c r="AR423" s="39"/>
      <c r="AS423" s="50"/>
      <c r="AT423" s="39"/>
      <c r="AU423" s="39"/>
      <c r="AV423" s="77"/>
      <c r="AW423" s="77"/>
      <c r="AX423" s="78"/>
      <c r="AY423" s="171" t="e">
        <f>+#REF!+AY22+#REF!+#REF!+AY93+AY108+AY131+#REF!+#REF!+AY215+AY237+#REF!+#REF!+AY319+AY342+AY355+AY370+AY394+AY400</f>
        <v>#REF!</v>
      </c>
      <c r="AZ423" s="171" t="e">
        <f>+#REF!+AZ22+#REF!+#REF!+AZ93+AZ108+AZ131+#REF!+#REF!+AZ215+AZ237+#REF!+#REF!+AZ319+AZ342+AZ355+AZ370+AZ394+AZ400</f>
        <v>#REF!</v>
      </c>
      <c r="BA423" s="171" t="e">
        <f>+#REF!+BA22+#REF!+#REF!+BA93+BA108+BA131+#REF!+#REF!+BA215+BA237+#REF!+#REF!+BA319+BA342+BA355+BA370+BA394+BA400</f>
        <v>#REF!</v>
      </c>
      <c r="BB423" s="171" t="e">
        <f>+#REF!+BB22+#REF!+#REF!+BB93+BB108+BB131+#REF!+#REF!+BB215+BB237+#REF!+#REF!+BB319+BB342+BB355+BB370+BB394+BB400</f>
        <v>#REF!</v>
      </c>
      <c r="BC423" s="39"/>
      <c r="BD423" s="39"/>
      <c r="BE423" s="22"/>
      <c r="BF423" s="39"/>
      <c r="BG423" s="39"/>
      <c r="BH423" s="22"/>
      <c r="BI423" s="22"/>
      <c r="BJ423" s="40"/>
      <c r="BK423" s="75"/>
      <c r="BL423" s="75"/>
      <c r="BM423" s="75"/>
      <c r="BN423" s="75"/>
      <c r="BO423" s="75"/>
      <c r="BP423" s="75"/>
      <c r="BQ423" s="75"/>
      <c r="BR423" s="75"/>
      <c r="BS423" s="75"/>
      <c r="BT423" s="75"/>
      <c r="BU423" s="75"/>
      <c r="BV423" s="75"/>
      <c r="BW423" s="75" t="e">
        <f>+#REF!+#REF!+#REF!+#REF!+#REF!+#REF!+#REF!+#REF!+#REF!+#REF!+#REF!+BW229+#REF!+#REF!+#REF!+#REF!+#REF!+#REF!+#REF!</f>
        <v>#REF!</v>
      </c>
      <c r="BX423" s="75" t="e">
        <f>+#REF!+#REF!+#REF!+#REF!+#REF!+#REF!+#REF!+#REF!+#REF!+#REF!+#REF!+BX229+#REF!+#REF!+#REF!+#REF!+#REF!+#REF!+#REF!</f>
        <v>#REF!</v>
      </c>
      <c r="BY423" s="75" t="e">
        <f>+#REF!+#REF!+#REF!+#REF!+#REF!+#REF!+#REF!+#REF!+#REF!+#REF!+#REF!+BY229+#REF!+#REF!+#REF!+#REF!+#REF!+#REF!+#REF!</f>
        <v>#REF!</v>
      </c>
      <c r="BZ423" s="75" t="e">
        <f>+#REF!+#REF!+#REF!+#REF!+#REF!+#REF!+#REF!+#REF!+#REF!+#REF!+#REF!+BZ229+#REF!+#REF!+#REF!+#REF!+#REF!+#REF!+#REF!</f>
        <v>#REF!</v>
      </c>
      <c r="CA423" s="75" t="e">
        <f>+#REF!+#REF!+#REF!+#REF!+#REF!+#REF!+#REF!+#REF!+#REF!+#REF!+#REF!+CA229+#REF!+#REF!+#REF!+#REF!+#REF!+#REF!+#REF!</f>
        <v>#REF!</v>
      </c>
      <c r="CB423" s="75" t="e">
        <f>+#REF!+#REF!+#REF!+#REF!+#REF!+#REF!+#REF!+#REF!+#REF!+#REF!+#REF!+CB229+#REF!+#REF!+#REF!+#REF!+#REF!+#REF!+#REF!</f>
        <v>#REF!</v>
      </c>
      <c r="CC423" s="75" t="e">
        <f>+#REF!+#REF!+#REF!+#REF!+#REF!+#REF!+#REF!+#REF!+#REF!+#REF!+#REF!+CC229+#REF!+#REF!+#REF!+#REF!+#REF!+#REF!+#REF!</f>
        <v>#REF!</v>
      </c>
      <c r="CD423" s="75" t="e">
        <f>+#REF!+#REF!+#REF!+#REF!+#REF!+#REF!+#REF!+#REF!+#REF!+#REF!+#REF!+CD229+#REF!+#REF!+#REF!+#REF!+#REF!+#REF!+#REF!</f>
        <v>#REF!</v>
      </c>
      <c r="CE423" s="48" t="e">
        <f t="shared" ref="CE423:CN423" si="1670">+CE424+CE425</f>
        <v>#REF!</v>
      </c>
      <c r="CF423" s="48" t="e">
        <f t="shared" si="1670"/>
        <v>#REF!</v>
      </c>
      <c r="CG423" s="48" t="e">
        <f t="shared" si="1670"/>
        <v>#REF!</v>
      </c>
      <c r="CH423" s="48" t="e">
        <f t="shared" si="1670"/>
        <v>#REF!</v>
      </c>
      <c r="CI423" s="48" t="e">
        <f t="shared" si="1670"/>
        <v>#REF!</v>
      </c>
      <c r="CJ423" s="48" t="e">
        <f t="shared" si="1670"/>
        <v>#REF!</v>
      </c>
      <c r="CK423" s="48" t="e">
        <f t="shared" si="1670"/>
        <v>#REF!</v>
      </c>
      <c r="CL423" s="48" t="e">
        <f t="shared" si="1670"/>
        <v>#REF!</v>
      </c>
      <c r="CM423" s="48" t="e">
        <f t="shared" si="1670"/>
        <v>#REF!</v>
      </c>
      <c r="CN423" s="48" t="e">
        <f t="shared" si="1670"/>
        <v>#REF!</v>
      </c>
      <c r="CO423" s="48" t="e">
        <f t="shared" si="1618"/>
        <v>#REF!</v>
      </c>
      <c r="CP423" s="48" t="e">
        <f t="shared" si="1646"/>
        <v>#REF!</v>
      </c>
      <c r="CQ423" s="48" t="e">
        <f t="shared" si="1619"/>
        <v>#REF!</v>
      </c>
      <c r="CR423" s="48" t="e">
        <f t="shared" si="1620"/>
        <v>#REF!</v>
      </c>
      <c r="CS423" s="48" t="e">
        <f t="shared" si="1621"/>
        <v>#REF!</v>
      </c>
      <c r="CT423" s="48" t="e">
        <f t="shared" si="1647"/>
        <v>#REF!</v>
      </c>
      <c r="CU423" s="48" t="e">
        <f t="shared" si="1648"/>
        <v>#REF!</v>
      </c>
      <c r="CV423" s="48" t="e">
        <f t="shared" si="1622"/>
        <v>#REF!</v>
      </c>
      <c r="CW423" s="75" t="e">
        <f>+#REF!+#REF!+#REF!+#REF!+#REF!+#REF!+#REF!+#REF!+#REF!+#REF!+#REF!+CW229+#REF!+#REF!+#REF!+#REF!+#REF!+#REF!+#REF!</f>
        <v>#REF!</v>
      </c>
      <c r="CX423" s="75" t="e">
        <f>+#REF!+#REF!+#REF!+#REF!+#REF!+#REF!+#REF!+#REF!+#REF!+#REF!+#REF!+CX229+#REF!+#REF!+#REF!+#REF!+#REF!+#REF!+#REF!</f>
        <v>#REF!</v>
      </c>
      <c r="CY423" s="75" t="e">
        <f>+#REF!+#REF!+#REF!+#REF!+#REF!+#REF!+#REF!+#REF!+#REF!+#REF!+#REF!+CY229+#REF!+#REF!+#REF!+#REF!+#REF!+#REF!+#REF!</f>
        <v>#REF!</v>
      </c>
      <c r="CZ423" s="75" t="e">
        <f>+#REF!+#REF!+#REF!+#REF!+#REF!+#REF!+#REF!+#REF!+#REF!+#REF!+#REF!+CZ229+#REF!+#REF!+#REF!+#REF!+#REF!+#REF!+#REF!</f>
        <v>#REF!</v>
      </c>
      <c r="DA423" s="20" t="e">
        <f t="shared" si="1655"/>
        <v>#REF!</v>
      </c>
      <c r="DB423" s="20" t="e">
        <f t="shared" si="1649"/>
        <v>#REF!</v>
      </c>
      <c r="DC423" s="51" t="e">
        <f t="shared" si="1650"/>
        <v>#REF!</v>
      </c>
      <c r="DD423" s="51" t="e">
        <f>+IF(CX423=0,,CZ423/CX423*100)</f>
        <v>#REF!</v>
      </c>
      <c r="DE423" s="75" t="e">
        <f>+#REF!+#REF!+#REF!+#REF!+#REF!+#REF!+#REF!+#REF!+#REF!+#REF!+#REF!+DE229+#REF!+#REF!+#REF!+#REF!+#REF!+#REF!+#REF!</f>
        <v>#REF!</v>
      </c>
      <c r="DF423" s="75" t="e">
        <f>+#REF!+#REF!+#REF!+#REF!+#REF!+#REF!+#REF!+#REF!+#REF!+#REF!+#REF!+DF229+#REF!+#REF!+#REF!+#REF!+#REF!+#REF!+#REF!</f>
        <v>#REF!</v>
      </c>
      <c r="DG423" s="75" t="e">
        <f>+#REF!+#REF!+#REF!+#REF!+#REF!+#REF!+#REF!+#REF!+#REF!+#REF!+#REF!+DG229+#REF!+#REF!+#REF!+#REF!+#REF!+#REF!+#REF!</f>
        <v>#REF!</v>
      </c>
      <c r="DH423" s="75" t="e">
        <f>+#REF!+#REF!+#REF!+#REF!+#REF!+#REF!+#REF!+#REF!+#REF!+#REF!+#REF!+DH229+#REF!+#REF!+#REF!+#REF!+#REF!+#REF!+#REF!</f>
        <v>#REF!</v>
      </c>
      <c r="DI423" s="39"/>
      <c r="DJ423" s="75"/>
      <c r="DK423" s="75"/>
      <c r="DL423" s="75"/>
      <c r="DM423" s="48"/>
      <c r="DN423" s="39"/>
      <c r="DO423" s="39"/>
      <c r="DP423" s="39"/>
      <c r="DQ423" s="39"/>
      <c r="DR423" s="39"/>
      <c r="DS423" s="39"/>
      <c r="DT423" s="39"/>
      <c r="DU423" s="39"/>
      <c r="DV423" s="171" t="e">
        <f>+#REF!+DV22+#REF!+#REF!+DV93+DV108+DV131+#REF!+#REF!+DV215+DV237+#REF!+#REF!+DV319+DV342+DV355+DV370+DV394+DV400</f>
        <v>#REF!</v>
      </c>
      <c r="DW423" s="171" t="e">
        <f>+#REF!+DW22+#REF!+#REF!+DW93+DW108+DW131+#REF!+#REF!+DW215+DW237+#REF!+#REF!+DW319+DW342+DW355+DW370+DW394+DW400</f>
        <v>#REF!</v>
      </c>
      <c r="DX423" s="21">
        <f>+'[1]тарифы (НВВ) население на 4,2%'!CO563</f>
        <v>81.055978515807041</v>
      </c>
      <c r="DY423" s="20" t="e">
        <f t="shared" ref="DY423:DY441" si="1671">+IF(DW423=0,,DV423/DW423*100)</f>
        <v>#REF!</v>
      </c>
      <c r="DZ423" s="171" t="e">
        <f>+#REF!+DZ22+#REF!+#REF!+DZ93+DZ108+DZ131+#REF!+#REF!+DZ215+DZ237+#REF!+#REF!+DZ319+DZ342+DZ355+DZ370+DZ394+DZ400</f>
        <v>#REF!</v>
      </c>
      <c r="EA423" s="171" t="e">
        <f>+#REF!+EA22+#REF!+#REF!+EA93+EA108+EA131+#REF!+#REF!+EA215+EA237+#REF!+#REF!+EA319+EA342+EA355+EA370+EA394+EA400</f>
        <v>#REF!</v>
      </c>
      <c r="EB423" s="171"/>
      <c r="EC423" s="171" t="e">
        <f>+#REF!+EC22+#REF!+#REF!+EC93+EC108+EC131+#REF!+#REF!+EC215+EC237+#REF!+#REF!+EC319+EC342+EC355+EC370+EC394+EC400+EC263+EC159+#REF!</f>
        <v>#REF!</v>
      </c>
      <c r="ED423" s="171" t="e">
        <f>+#REF!+ED22+#REF!+#REF!+ED93+ED108+ED131+#REF!+#REF!+ED215+ED237+#REF!+#REF!+ED319+ED342+ED355+ED370+ED394+ED400+ED263+ED159+#REF!</f>
        <v>#REF!</v>
      </c>
      <c r="EE423" s="19" t="e">
        <f>+(EC423+ED423)/1000</f>
        <v>#REF!</v>
      </c>
      <c r="EF423" s="39"/>
      <c r="EG423" s="39"/>
      <c r="EH423" s="39"/>
      <c r="EI423" s="39"/>
      <c r="EJ423" s="22">
        <f t="shared" si="1662"/>
        <v>0</v>
      </c>
      <c r="EK423" s="39"/>
      <c r="EL423" s="83" t="e">
        <f>+#REF!+EL22+#REF!+#REF!+EL93+EL108+EL131+#REF!+#REF!+EL215+EL237+#REF!+#REF!+EL319+EL342+EL355+EL370+EL394+EL400+EL263+EL159+#REF!</f>
        <v>#REF!</v>
      </c>
      <c r="EM423" s="83" t="e">
        <f>+#REF!+EM22+#REF!+#REF!+EM93+EM108+EM131+#REF!+#REF!+EM215+EM237+#REF!+#REF!+EM319+EM342+EM355+EM370+EM394+EM400+EM263+EM159+#REF!</f>
        <v>#REF!</v>
      </c>
      <c r="EN423" s="83" t="e">
        <f>+#REF!+EN22+#REF!+#REF!+EN93+EN108+EN131+#REF!+#REF!+EN215+EN237+#REF!+#REF!+EN319+EN342+EN355+EN370+EN394+EN400+EN263+EN159+#REF!</f>
        <v>#REF!</v>
      </c>
      <c r="EO423" s="83" t="e">
        <f>+#REF!+EO22+#REF!+#REF!+EO93+EO108+EO131+#REF!+#REF!+EO215+EO237+#REF!+#REF!+EO319+EO342+EO355+EO370+EO394+EO400+EO263+EO159+#REF!</f>
        <v>#REF!</v>
      </c>
      <c r="EP423" s="205"/>
      <c r="EQ423" s="21" t="e">
        <f t="shared" si="1623"/>
        <v>#REF!</v>
      </c>
      <c r="ER423" s="21"/>
      <c r="ES423" s="21" t="e">
        <f>+#REF!+ES22+#REF!+#REF!+ES93+ES108+ES131+#REF!+#REF!+ES215+ES237+#REF!+#REF!+ES319+ES342+ES355+ES370+ES394+ES400+ES263+ES159</f>
        <v>#REF!</v>
      </c>
      <c r="ET423" s="19" t="e">
        <f t="shared" si="1656"/>
        <v>#REF!</v>
      </c>
      <c r="EU423" s="83" t="e">
        <f>+#REF!+EU22+#REF!+#REF!+EU93+EU108+EU131+#REF!+#REF!+EU215+EU237+#REF!+#REF!+EU319+EU342+EU355+EU370+EU394+EU400+EU263+EU159</f>
        <v>#REF!</v>
      </c>
      <c r="EV423" s="48" t="e">
        <f t="shared" si="1657"/>
        <v>#REF!</v>
      </c>
      <c r="EW423" s="39"/>
      <c r="EX423" s="166" t="e">
        <f t="shared" si="1663"/>
        <v>#REF!</v>
      </c>
      <c r="EY423" s="39" t="e">
        <f t="shared" si="1663"/>
        <v>#REF!</v>
      </c>
      <c r="EZ423" s="39"/>
      <c r="FA423" s="39"/>
      <c r="FB423" s="39"/>
      <c r="FC423" s="39"/>
      <c r="FD423" s="39"/>
      <c r="FE423" s="39"/>
      <c r="FF423" s="39" t="e">
        <f>+EL423/AY423*100-100</f>
        <v>#REF!</v>
      </c>
      <c r="FG423" s="39"/>
      <c r="FH423" s="39"/>
      <c r="FI423" s="39"/>
      <c r="FJ423" s="51" t="e">
        <f>+#REF!+FJ22+#REF!+#REF!+FJ93+FJ108+FJ131+#REF!+#REF!+FJ215+FJ237+#REF!+#REF!+FJ319+FJ342+FJ355+FJ370+FJ394+FJ400+FJ263+FJ159</f>
        <v>#REF!</v>
      </c>
      <c r="FK423" s="51" t="e">
        <f>+#REF!+FK22+#REF!+#REF!+FK93+FK108+FK131+#REF!+#REF!+FK215+FK237+#REF!+#REF!+FK319+FK342+FK355+FK370+FK394+FK400+FK263+FK159+#REF!</f>
        <v>#REF!</v>
      </c>
      <c r="FL423" s="46"/>
      <c r="FM423" s="83" t="e">
        <f>+#REF!+FM22+#REF!+#REF!+FM93+FM108+FM131+#REF!+FM159+FM192+#REF!+FM215+FM237+FM263+#REF!+FM319+FM342+FM355+FM370+FM394+FM400</f>
        <v>#REF!</v>
      </c>
      <c r="FN423" s="83" t="e">
        <f>+#REF!+FN22+#REF!+#REF!+FN93+FN108+FN131+#REF!+FN159+FN192+#REF!+FN215+FN237+FN263+#REF!+FN319+FN342+FN355+FN370+FN394+FN400</f>
        <v>#REF!</v>
      </c>
      <c r="FO423" s="39">
        <f t="shared" si="1624"/>
        <v>0</v>
      </c>
      <c r="FP423" s="39"/>
      <c r="FQ423" s="39"/>
      <c r="FR423" s="39">
        <f t="shared" si="1625"/>
        <v>0</v>
      </c>
      <c r="FS423" s="39"/>
      <c r="FT423" s="39"/>
      <c r="FU423" s="39"/>
      <c r="FV423" s="51" t="e">
        <f>+#REF!+FV22+#REF!+#REF!+FV93+FV108+FV131+#REF!+FV159+FV192+#REF!+FV215+FV237+FV263+#REF!+FV319+FV342+FV355+FV370+FV394+FV400</f>
        <v>#REF!</v>
      </c>
      <c r="FW423" s="51" t="e">
        <f>+#REF!+FW22+#REF!+#REF!+FW93+FW108+FW131+#REF!+FW159+FW192+#REF!+FW215+FW237+FW263+#REF!+FW319+FW342+FW355+FW370+FW394+FW400+FW12+FW278</f>
        <v>#REF!</v>
      </c>
      <c r="FX423" s="165" t="e">
        <f t="shared" si="1629"/>
        <v>#REF!</v>
      </c>
      <c r="FY423" s="19" t="e">
        <f>+#REF!+FY22+#REF!+#REF!+FY93+FY108+FY131+#REF!+FY159+FY192+#REF!+FY215+FY237+FY263+#REF!+FY319+FY342+FY355+FY370+FY394+FY400+FY424+FY425</f>
        <v>#REF!</v>
      </c>
      <c r="FZ423" s="19" t="e">
        <f>+#REF!+FZ22+#REF!+#REF!+FZ93+FZ108+FZ131+#REF!+FZ159+FZ192+#REF!+FZ215+FZ237+FZ263+#REF!+FZ319+FZ342+FZ355+FZ370+FZ394+FZ400+FZ424+FZ425</f>
        <v>#REF!</v>
      </c>
      <c r="GA423" s="19" t="e">
        <f>+#REF!+GA22+#REF!+#REF!+GA93+GA108+GA131+#REF!+GA159+GA192+#REF!+GA215+GA237+GA263+#REF!+GA319+GA342+GA355+GA370+GA394+GA400+GA424+GA425</f>
        <v>#REF!</v>
      </c>
      <c r="GB423" s="19" t="e">
        <f>+#REF!+GB22+#REF!+#REF!+GB93+GB108+GB131+#REF!+GB159+GB192+#REF!+GB215+GB237+GB263+#REF!+GB319+GB342+GB355+GB370+GB394+GB400+GB424+GB425</f>
        <v>#REF!</v>
      </c>
      <c r="GC423" s="20" t="e">
        <f t="shared" si="1632"/>
        <v>#REF!</v>
      </c>
      <c r="GD423" s="20" t="e">
        <f t="shared" si="1669"/>
        <v>#REF!</v>
      </c>
      <c r="GE423" s="21" t="e">
        <f>+#REF!+GE22+#REF!+#REF!+GE93+GE108+GE131+#REF!+GE159+GE192+#REF!+GE215+GE237+GE263+#REF!+GE319+GE342+GE355+GE370+GE394+GE400</f>
        <v>#REF!</v>
      </c>
      <c r="GF423" s="21" t="e">
        <f>+#REF!+GF22+#REF!+#REF!+GF93+GF108+GF131+#REF!+GF159+GF192+#REF!+GF215+GF237+GF263+#REF!+GF319+GF342+GF355+GF370+GF394+GF400</f>
        <v>#REF!</v>
      </c>
      <c r="GG423" s="48" t="e">
        <f t="shared" si="1653"/>
        <v>#REF!</v>
      </c>
      <c r="GH423" s="48" t="e">
        <f t="shared" si="1653"/>
        <v>#REF!</v>
      </c>
      <c r="GI423" s="21" t="e">
        <f>+#REF!+GI22+#REF!+#REF!+GI93+GI108+GI131+#REF!+GI159+GI192+#REF!+GI215+GI237+GI263+#REF!+GI319+GI342+GI355+GI370+GI394+GI400</f>
        <v>#REF!</v>
      </c>
      <c r="GJ423" s="21" t="e">
        <f>+#REF!+GJ22+#REF!+#REF!+GJ93+GJ108+GJ131+#REF!+GJ159+GJ192+#REF!+GJ215+GJ237+GJ263+#REF!+GJ319+GJ342+GJ355+GJ370+GJ394+GJ400</f>
        <v>#REF!</v>
      </c>
      <c r="GK423" s="48" t="e">
        <f t="shared" si="1654"/>
        <v>#REF!</v>
      </c>
      <c r="GL423" s="48" t="e">
        <f t="shared" si="1654"/>
        <v>#REF!</v>
      </c>
      <c r="GM423" s="83" t="e">
        <f>+#REF!+GM12+GM22+#REF!+#REF!+#REF!+GM93+GM108+GM131+GM159+GM180+#REF!+#REF!+#REF!+GM192+GM215+GM237+#REF!+GM263+#REF!+GM278+GM319+GM342+GM355+GM370+GM394+GM400</f>
        <v>#REF!</v>
      </c>
      <c r="GN423" s="83" t="e">
        <f>+#REF!+GN12+GN22+#REF!+#REF!+#REF!+GN93+GN108+GN131+GN159+GN180+#REF!+#REF!+#REF!+GN192+GN215+GN237+#REF!+GN263+#REF!+GN278+GN319+GN342+GN355+GN370+GN394+GN400</f>
        <v>#REF!</v>
      </c>
      <c r="GO423" s="166" t="e">
        <f t="shared" si="1664"/>
        <v>#REF!</v>
      </c>
      <c r="GP423" s="166" t="e">
        <f t="shared" si="1665"/>
        <v>#REF!</v>
      </c>
      <c r="GQ423" s="39"/>
      <c r="GR423" s="39" t="e">
        <f t="shared" si="1666"/>
        <v>#REF!</v>
      </c>
      <c r="GS423" s="39"/>
      <c r="GT423" s="22"/>
      <c r="GU423" s="167"/>
      <c r="GV423" s="51" t="e">
        <f>+#REF!+GV12+GV22+#REF!+#REF!+#REF!+GV93+GV108+GV131+GV159+GV180+#REF!+#REF!+#REF!+GV192+GV215+GV237+#REF!+GV263+#REF!+GV278+GV319+GV342+GV355+GV370+GV394+GV400</f>
        <v>#REF!</v>
      </c>
      <c r="GW423" s="51" t="e">
        <f>+#REF!+GW12+GW22+#REF!+#REF!+#REF!+GW93+GW108+GW131+GW159+GW180+#REF!+#REF!+#REF!+GW192+GW215+GW237+#REF!+GW263+#REF!+GW278+GW319+GW342+GW355+GW370+GW394+GW400</f>
        <v>#REF!</v>
      </c>
      <c r="GX423" s="51" t="e">
        <f>+#REF!+GX12+GX22+#REF!+#REF!+#REF!+GX93+GX108+GX131+GX159+GX180+#REF!+#REF!+#REF!+GX192+GX215+GX237+#REF!+GX263+#REF!+GX278+GX319+GX342+GX355+GX370+GX394+GX400</f>
        <v>#REF!</v>
      </c>
      <c r="GY423" s="51" t="e">
        <f>+#REF!+GY12+GY22+#REF!+#REF!+#REF!+GY93+GY108+GY131+GY159+GY180+#REF!+#REF!+#REF!+GY192+GY215+GY237+#REF!+GY263+#REF!+GY278+GY319+GY342+GY355+GY370+GY394+GY400</f>
        <v>#REF!</v>
      </c>
      <c r="GZ423" s="20" t="e">
        <f t="shared" ref="GZ423:GZ428" si="1672">+IF(GY423=0,,GX423/GY423*100)</f>
        <v>#REF!</v>
      </c>
      <c r="HA423" s="39">
        <f t="shared" si="1667"/>
        <v>0</v>
      </c>
      <c r="HB423" s="39"/>
      <c r="HC423" s="39"/>
      <c r="HD423" s="39">
        <f t="shared" si="1668"/>
        <v>0</v>
      </c>
      <c r="HE423" s="39"/>
      <c r="HF423" s="207"/>
      <c r="HG423" s="172"/>
    </row>
    <row r="424" spans="1:215" s="14" customFormat="1" ht="18.600000000000001" hidden="1" customHeight="1" thickBot="1">
      <c r="A424" s="1"/>
      <c r="B424" s="7"/>
      <c r="C424" s="199" t="s">
        <v>148</v>
      </c>
      <c r="D424" s="206" t="e">
        <f t="shared" si="1658"/>
        <v>#REF!</v>
      </c>
      <c r="E424" s="73" t="e">
        <f>+#REF!+#REF!+#REF!+#REF!+#REF!+#REF!+#REF!+#REF!+#REF!+#REF!+#REF!+#REF!+#REF!+#REF!+E230+#REF!+#REF!+#REF!+#REF!+#REF!+#REF!+#REF!+#REF!+#REF!</f>
        <v>#REF!</v>
      </c>
      <c r="F424" s="73" t="e">
        <f>+#REF!+#REF!+#REF!+#REF!+#REF!+#REF!+#REF!+#REF!+#REF!+#REF!+#REF!+#REF!+#REF!+#REF!+F230+#REF!+#REF!+#REF!+#REF!+#REF!+#REF!+#REF!+#REF!+#REF!</f>
        <v>#REF!</v>
      </c>
      <c r="G424" s="73" t="e">
        <f>+#REF!+#REF!+#REF!+#REF!+#REF!+#REF!+#REF!+#REF!+#REF!+#REF!+#REF!+#REF!+#REF!+#REF!+G230+#REF!+#REF!+#REF!+#REF!+#REF!+#REF!+#REF!+#REF!+#REF!</f>
        <v>#REF!</v>
      </c>
      <c r="H424" s="73" t="e">
        <f>+#REF!+#REF!+#REF!+#REF!+#REF!+#REF!+#REF!+#REF!+#REF!+#REF!+#REF!+#REF!+#REF!+#REF!+H230+#REF!+#REF!+#REF!+#REF!+#REF!+#REF!+#REF!+#REF!+#REF!</f>
        <v>#REF!</v>
      </c>
      <c r="I424" s="73" t="e">
        <f>+#REF!+#REF!+#REF!+#REF!+#REF!+#REF!+#REF!+#REF!+#REF!+#REF!+#REF!+#REF!+#REF!+#REF!+I230+#REF!+#REF!+#REF!+#REF!+#REF!+#REF!+#REF!+#REF!+#REF!</f>
        <v>#REF!</v>
      </c>
      <c r="J424" s="73" t="e">
        <f>+#REF!+#REF!+#REF!+#REF!+#REF!+#REF!+#REF!+#REF!+#REF!+#REF!+#REF!+#REF!+#REF!+#REF!+J230+#REF!+#REF!+#REF!+#REF!+#REF!+#REF!+#REF!+#REF!+#REF!</f>
        <v>#REF!</v>
      </c>
      <c r="K424" s="73" t="e">
        <f>+#REF!+#REF!+#REF!+#REF!+#REF!+#REF!+#REF!+#REF!+#REF!+#REF!+#REF!+#REF!+#REF!+#REF!+K230+#REF!+#REF!+#REF!+#REF!+#REF!+#REF!+#REF!+#REF!+#REF!</f>
        <v>#REF!</v>
      </c>
      <c r="L424" s="73" t="e">
        <f>+#REF!+#REF!+#REF!+#REF!+#REF!+#REF!+#REF!+#REF!+#REF!+#REF!+#REF!+#REF!+#REF!+#REF!+L230+#REF!+#REF!+#REF!+#REF!+#REF!+#REF!+#REF!+#REF!+#REF!</f>
        <v>#REF!</v>
      </c>
      <c r="M424" s="206" t="e">
        <f>+N424+R424</f>
        <v>#REF!</v>
      </c>
      <c r="N424" s="75" t="e">
        <f>+#REF!+#REF!+#REF!+#REF!+#REF!+#REF!+#REF!+#REF!+#REF!+#REF!+#REF!+#REF!+#REF!+#REF!+N230+#REF!+#REF!+#REF!+#REF!+#REF!+#REF!+#REF!+#REF!+#REF!</f>
        <v>#REF!</v>
      </c>
      <c r="O424" s="75" t="e">
        <f>+#REF!+#REF!+#REF!+#REF!+#REF!+#REF!+#REF!+#REF!+#REF!+#REF!+#REF!+#REF!+#REF!+#REF!+O230+#REF!+#REF!+#REF!+#REF!+#REF!+#REF!+#REF!+#REF!+#REF!</f>
        <v>#REF!</v>
      </c>
      <c r="P424" s="75" t="e">
        <f>+#REF!+#REF!+#REF!+#REF!+#REF!+#REF!+#REF!+#REF!+#REF!+#REF!+#REF!+#REF!+#REF!+#REF!+P230+#REF!+#REF!+#REF!+#REF!+#REF!+#REF!+#REF!+#REF!+#REF!</f>
        <v>#REF!</v>
      </c>
      <c r="Q424" s="75" t="e">
        <f>+#REF!+#REF!+#REF!+#REF!+#REF!+#REF!+#REF!+#REF!+#REF!+#REF!+#REF!+#REF!+#REF!+#REF!+Q230+#REF!+#REF!+#REF!+#REF!+#REF!+#REF!+#REF!+#REF!+#REF!</f>
        <v>#REF!</v>
      </c>
      <c r="R424" s="75" t="e">
        <f>+#REF!+#REF!+#REF!+#REF!+#REF!+#REF!+#REF!+#REF!+#REF!+#REF!+#REF!+#REF!+#REF!+#REF!+R230+#REF!+#REF!+#REF!+#REF!+#REF!+#REF!+#REF!+#REF!+#REF!</f>
        <v>#REF!</v>
      </c>
      <c r="S424" s="75" t="e">
        <f>+#REF!+#REF!+#REF!+#REF!+#REF!+#REF!+#REF!+#REF!+#REF!+#REF!+#REF!+#REF!+#REF!+#REF!+S230+#REF!+#REF!+#REF!+#REF!+#REF!+#REF!+#REF!+#REF!+#REF!</f>
        <v>#REF!</v>
      </c>
      <c r="T424" s="75" t="e">
        <f>+#REF!+#REF!+#REF!+#REF!+#REF!+#REF!+#REF!+#REF!+#REF!+#REF!+#REF!+#REF!+#REF!+#REF!+T230+#REF!+#REF!+#REF!+#REF!+#REF!+#REF!+#REF!+#REF!+#REF!</f>
        <v>#REF!</v>
      </c>
      <c r="U424" s="75" t="e">
        <f>+#REF!+#REF!+#REF!+#REF!+#REF!+#REF!+#REF!+#REF!+#REF!+#REF!+#REF!+#REF!+#REF!+#REF!+U230+#REF!+#REF!+#REF!+#REF!+#REF!+#REF!+#REF!+#REF!+#REF!</f>
        <v>#REF!</v>
      </c>
      <c r="V424" s="39"/>
      <c r="W424" s="39"/>
      <c r="X424" s="22" t="e">
        <f>+BK424/D424*1000</f>
        <v>#REF!</v>
      </c>
      <c r="Y424" s="39"/>
      <c r="Z424" s="79" t="e">
        <f>+BO424/D424*1000</f>
        <v>#REF!</v>
      </c>
      <c r="AA424" s="39"/>
      <c r="AB424" s="79" t="e">
        <f>+BS424/D424*1000</f>
        <v>#REF!</v>
      </c>
      <c r="AC424" s="19"/>
      <c r="AD424" s="19"/>
      <c r="AE424" s="50"/>
      <c r="AF424" s="19"/>
      <c r="AG424" s="19"/>
      <c r="AH424" s="39"/>
      <c r="AI424" s="39"/>
      <c r="AJ424" s="39"/>
      <c r="AK424" s="39"/>
      <c r="AL424" s="22"/>
      <c r="AM424" s="39"/>
      <c r="AN424" s="39"/>
      <c r="AO424" s="39"/>
      <c r="AP424" s="39"/>
      <c r="AQ424" s="39"/>
      <c r="AR424" s="39"/>
      <c r="AS424" s="50"/>
      <c r="AT424" s="39"/>
      <c r="AU424" s="39"/>
      <c r="AV424" s="77"/>
      <c r="AW424" s="77"/>
      <c r="AX424" s="78"/>
      <c r="AY424" s="171" t="e">
        <f>+#REF!+AY23+#REF!+AY55+#REF!+AY81+#REF!+AY132+AY133+#REF!+#REF!+#REF!+#REF!+AY252+#REF!+#REF!+AY304+AY343+#REF!</f>
        <v>#REF!</v>
      </c>
      <c r="AZ424" s="171" t="e">
        <f>+#REF!+AZ23+#REF!+AZ55+#REF!+AZ81+#REF!+AZ132+AZ133+#REF!+#REF!+#REF!+#REF!+AZ252+#REF!+#REF!+AZ304+AZ343+#REF!</f>
        <v>#REF!</v>
      </c>
      <c r="BA424" s="171" t="e">
        <f>+#REF!+BA23+#REF!+BA55+#REF!+BA81+#REF!+BA132+BA133+#REF!+#REF!+#REF!+#REF!+BA252+#REF!+#REF!+BA304+BA343+#REF!</f>
        <v>#REF!</v>
      </c>
      <c r="BB424" s="171" t="e">
        <f>+#REF!+BB23+#REF!+BB55+#REF!+BB81+#REF!+BB132+BB133+#REF!+#REF!+#REF!+#REF!+BB252+#REF!+#REF!+BB304+BB343+#REF!</f>
        <v>#REF!</v>
      </c>
      <c r="BC424" s="39"/>
      <c r="BD424" s="39"/>
      <c r="BE424" s="22"/>
      <c r="BF424" s="39"/>
      <c r="BG424" s="39"/>
      <c r="BH424" s="22"/>
      <c r="BI424" s="22"/>
      <c r="BJ424" s="40"/>
      <c r="BK424" s="75" t="e">
        <f>+#REF!+#REF!+#REF!+#REF!+BK55+#REF!+#REF!+#REF!+#REF!+#REF!+#REF!+#REF!+#REF!+#REF!+#REF!+BK230+#REF!+#REF!+#REF!+#REF!+#REF!+#REF!+#REF!+#REF!+#REF!</f>
        <v>#REF!</v>
      </c>
      <c r="BL424" s="75" t="e">
        <f>+#REF!+#REF!+#REF!+#REF!+BL55+#REF!+#REF!+#REF!+#REF!+#REF!+#REF!+#REF!+#REF!+#REF!+#REF!+BL230+#REF!+#REF!+#REF!+#REF!+#REF!+#REF!+#REF!+#REF!+#REF!</f>
        <v>#REF!</v>
      </c>
      <c r="BM424" s="75" t="e">
        <f>+#REF!+#REF!+#REF!+#REF!+BM55+#REF!+#REF!+#REF!+#REF!+#REF!+#REF!+#REF!+#REF!+#REF!+#REF!+BM230+#REF!+#REF!+#REF!+#REF!+#REF!+#REF!+#REF!+#REF!+#REF!</f>
        <v>#REF!</v>
      </c>
      <c r="BN424" s="75" t="e">
        <f>+#REF!+#REF!+#REF!+#REF!+BN55+#REF!+#REF!+#REF!+#REF!+#REF!+#REF!+#REF!+#REF!+#REF!+#REF!+BN230+#REF!+#REF!+#REF!+#REF!+#REF!+#REF!+#REF!+#REF!+#REF!</f>
        <v>#REF!</v>
      </c>
      <c r="BO424" s="75" t="e">
        <f>+#REF!+#REF!+#REF!+#REF!+BO55+#REF!+#REF!+#REF!+#REF!+#REF!+#REF!+#REF!+#REF!+#REF!+#REF!+BO230+#REF!+#REF!+#REF!+#REF!+#REF!+#REF!+#REF!+#REF!+#REF!</f>
        <v>#REF!</v>
      </c>
      <c r="BP424" s="75" t="e">
        <f>+#REF!+#REF!+#REF!+#REF!+BP55+#REF!+#REF!+#REF!+#REF!+#REF!+#REF!+#REF!+#REF!+#REF!+#REF!+BP230+#REF!+#REF!+#REF!+#REF!+#REF!+#REF!+#REF!+#REF!+#REF!</f>
        <v>#REF!</v>
      </c>
      <c r="BQ424" s="75" t="e">
        <f>+#REF!+#REF!+#REF!+#REF!+BQ55+#REF!+#REF!+#REF!+#REF!+#REF!+#REF!+#REF!+#REF!+#REF!+#REF!+BQ230+#REF!+#REF!+#REF!+#REF!+#REF!+#REF!+#REF!+#REF!+#REF!</f>
        <v>#REF!</v>
      </c>
      <c r="BR424" s="75" t="e">
        <f>+#REF!+#REF!+#REF!+#REF!+BR55+#REF!+#REF!+#REF!+#REF!+#REF!+#REF!+#REF!+#REF!+#REF!+#REF!+BR230+#REF!+#REF!+#REF!+#REF!+#REF!+#REF!+#REF!+#REF!+#REF!</f>
        <v>#REF!</v>
      </c>
      <c r="BS424" s="75" t="e">
        <f>+#REF!+#REF!+#REF!+#REF!+BS55+#REF!+#REF!+#REF!+#REF!+#REF!+#REF!+#REF!+#REF!+#REF!+#REF!+BS230+#REF!+#REF!+#REF!+#REF!+#REF!+#REF!+#REF!+#REF!+#REF!</f>
        <v>#REF!</v>
      </c>
      <c r="BT424" s="75" t="e">
        <f>+#REF!+#REF!+#REF!+#REF!+BT55+#REF!+#REF!+#REF!+#REF!+#REF!+#REF!+#REF!+#REF!+#REF!+#REF!+BT230+#REF!+#REF!+#REF!+#REF!+#REF!+#REF!+#REF!+#REF!+#REF!</f>
        <v>#REF!</v>
      </c>
      <c r="BU424" s="75" t="e">
        <f>+#REF!+#REF!+#REF!+#REF!+BU55+#REF!+#REF!+#REF!+#REF!+#REF!+#REF!+#REF!+#REF!+#REF!+#REF!+BU230+#REF!+#REF!+#REF!+#REF!+#REF!+#REF!+#REF!+#REF!+#REF!</f>
        <v>#REF!</v>
      </c>
      <c r="BV424" s="75" t="e">
        <f>+#REF!+#REF!+#REF!+#REF!+BV55+#REF!+#REF!+#REF!+#REF!+#REF!+#REF!+#REF!+#REF!+#REF!+#REF!+BV230+#REF!+#REF!+#REF!+#REF!+#REF!+#REF!+#REF!+#REF!+#REF!</f>
        <v>#REF!</v>
      </c>
      <c r="BW424" s="75" t="e">
        <f>+#REF!+#REF!+#REF!+#REF!+#REF!+#REF!+#REF!+#REF!+#REF!+#REF!+#REF!+#REF!+#REF!+#REF!+BW230+#REF!+#REF!+#REF!+#REF!+#REF!+#REF!+#REF!+#REF!+#REF!</f>
        <v>#REF!</v>
      </c>
      <c r="BX424" s="75" t="e">
        <f>+#REF!+#REF!+#REF!+#REF!+#REF!+#REF!+#REF!+#REF!+#REF!+#REF!+#REF!+#REF!+#REF!+#REF!+BX230+#REF!+#REF!+#REF!+#REF!+#REF!+#REF!+#REF!+#REF!+#REF!</f>
        <v>#REF!</v>
      </c>
      <c r="BY424" s="75" t="e">
        <f>+#REF!+#REF!+#REF!+#REF!+#REF!+#REF!+#REF!+#REF!+#REF!+#REF!+#REF!+#REF!+#REF!+#REF!+BY230+#REF!+#REF!+#REF!+#REF!+#REF!+#REF!+#REF!+#REF!+#REF!</f>
        <v>#REF!</v>
      </c>
      <c r="BZ424" s="75" t="e">
        <f>+#REF!+#REF!+#REF!+#REF!+#REF!+#REF!+#REF!+#REF!+#REF!+#REF!+#REF!+#REF!+#REF!+#REF!+BZ230+#REF!+#REF!+#REF!+#REF!+#REF!+#REF!+#REF!+#REF!+#REF!</f>
        <v>#REF!</v>
      </c>
      <c r="CA424" s="75" t="e">
        <f>+#REF!+#REF!+#REF!+#REF!+#REF!+#REF!+#REF!+#REF!+#REF!+#REF!+#REF!+#REF!+#REF!+#REF!+CA230+#REF!+#REF!+#REF!+#REF!+#REF!+#REF!+#REF!+#REF!+#REF!</f>
        <v>#REF!</v>
      </c>
      <c r="CB424" s="75" t="e">
        <f>+#REF!+#REF!+#REF!+#REF!+#REF!+#REF!+#REF!+#REF!+#REF!+#REF!+#REF!+#REF!+#REF!+#REF!+CB230+#REF!+#REF!+#REF!+#REF!+#REF!+#REF!+#REF!+#REF!+#REF!</f>
        <v>#REF!</v>
      </c>
      <c r="CC424" s="75" t="e">
        <f>+#REF!+#REF!+#REF!+#REF!+#REF!+#REF!+#REF!+#REF!+#REF!+#REF!+#REF!+#REF!+#REF!+#REF!+CC230+#REF!+#REF!+#REF!+#REF!+#REF!+#REF!+#REF!+#REF!+#REF!</f>
        <v>#REF!</v>
      </c>
      <c r="CD424" s="75" t="e">
        <f>+#REF!+#REF!+#REF!+#REF!+#REF!+#REF!+#REF!+#REF!+#REF!+#REF!+#REF!+#REF!+#REF!+#REF!+CD230+#REF!+#REF!+#REF!+#REF!+#REF!+#REF!+#REF!+#REF!+#REF!</f>
        <v>#REF!</v>
      </c>
      <c r="CE424" s="48" t="e">
        <f>+IF(R424=0,,BN424/I424*1000)</f>
        <v>#REF!</v>
      </c>
      <c r="CF424" s="48" t="e">
        <f t="shared" si="1612"/>
        <v>#REF!</v>
      </c>
      <c r="CG424" s="48" t="e">
        <f t="shared" si="1613"/>
        <v>#REF!</v>
      </c>
      <c r="CH424" s="48" t="e">
        <f t="shared" si="1614"/>
        <v>#REF!</v>
      </c>
      <c r="CI424" s="48" t="e">
        <f t="shared" si="1615"/>
        <v>#REF!</v>
      </c>
      <c r="CJ424" s="48" t="e">
        <f t="shared" si="1616"/>
        <v>#REF!</v>
      </c>
      <c r="CK424" s="48" t="e">
        <f t="shared" si="1617"/>
        <v>#REF!</v>
      </c>
      <c r="CL424" s="48" t="e">
        <f t="shared" si="1644"/>
        <v>#REF!</v>
      </c>
      <c r="CM424" s="48" t="e">
        <f t="shared" si="1645"/>
        <v>#REF!</v>
      </c>
      <c r="CN424" s="48" t="e">
        <f t="shared" si="1582"/>
        <v>#REF!</v>
      </c>
      <c r="CO424" s="48" t="e">
        <f t="shared" si="1618"/>
        <v>#REF!</v>
      </c>
      <c r="CP424" s="48" t="e">
        <f t="shared" si="1646"/>
        <v>#REF!</v>
      </c>
      <c r="CQ424" s="48" t="e">
        <f t="shared" si="1619"/>
        <v>#REF!</v>
      </c>
      <c r="CR424" s="48" t="e">
        <f t="shared" si="1620"/>
        <v>#REF!</v>
      </c>
      <c r="CS424" s="48" t="e">
        <f t="shared" si="1621"/>
        <v>#REF!</v>
      </c>
      <c r="CT424" s="48" t="e">
        <f t="shared" si="1647"/>
        <v>#REF!</v>
      </c>
      <c r="CU424" s="48" t="e">
        <f t="shared" si="1648"/>
        <v>#REF!</v>
      </c>
      <c r="CV424" s="48"/>
      <c r="CW424" s="75" t="e">
        <f>+#REF!+#REF!+#REF!+#REF!+#REF!+#REF!+#REF!+#REF!+#REF!+#REF!+#REF!+#REF!+#REF!+#REF!+CW230+#REF!+#REF!+#REF!+#REF!+#REF!+#REF!+#REF!+#REF!+#REF!</f>
        <v>#REF!</v>
      </c>
      <c r="CX424" s="75" t="e">
        <f>+#REF!+#REF!+#REF!+#REF!+#REF!+#REF!+#REF!+#REF!+#REF!+#REF!+#REF!+#REF!+#REF!+#REF!+CX230+#REF!+#REF!+#REF!+#REF!+#REF!+#REF!+#REF!+#REF!+#REF!</f>
        <v>#REF!</v>
      </c>
      <c r="CY424" s="75" t="e">
        <f>+#REF!+#REF!+#REF!+#REF!+#REF!+#REF!+#REF!+#REF!+#REF!+#REF!+#REF!+#REF!+#REF!+#REF!+CY230+#REF!+#REF!+#REF!+#REF!+#REF!+#REF!+#REF!+#REF!+#REF!</f>
        <v>#REF!</v>
      </c>
      <c r="CZ424" s="75" t="e">
        <f>+#REF!+#REF!+#REF!+#REF!+#REF!+#REF!+#REF!+#REF!+#REF!+#REF!+#REF!+#REF!+#REF!+#REF!+CZ230+#REF!+#REF!+#REF!+#REF!+#REF!+#REF!+#REF!+#REF!+#REF!</f>
        <v>#REF!</v>
      </c>
      <c r="DA424" s="20" t="e">
        <f t="shared" si="1655"/>
        <v>#REF!</v>
      </c>
      <c r="DB424" s="20" t="e">
        <f t="shared" si="1649"/>
        <v>#REF!</v>
      </c>
      <c r="DC424" s="51" t="e">
        <f t="shared" si="1650"/>
        <v>#REF!</v>
      </c>
      <c r="DD424" s="51" t="e">
        <f t="shared" si="1650"/>
        <v>#REF!</v>
      </c>
      <c r="DE424" s="75" t="e">
        <f>+#REF!+#REF!+#REF!+#REF!+#REF!+#REF!+#REF!+#REF!+#REF!+#REF!+#REF!+#REF!+#REF!+#REF!+DE230+#REF!+#REF!+#REF!+#REF!+#REF!+#REF!+#REF!+#REF!+#REF!</f>
        <v>#REF!</v>
      </c>
      <c r="DF424" s="75" t="e">
        <f>+#REF!+#REF!+#REF!+#REF!+#REF!+#REF!+#REF!+#REF!+#REF!+#REF!+#REF!+#REF!+#REF!+#REF!+DF230+#REF!+#REF!+#REF!+#REF!+#REF!+#REF!+#REF!+#REF!+#REF!</f>
        <v>#REF!</v>
      </c>
      <c r="DG424" s="75" t="e">
        <f>+#REF!+#REF!+#REF!+#REF!+#REF!+#REF!+#REF!+#REF!+#REF!+#REF!+#REF!+#REF!+#REF!+#REF!+DG230+#REF!+#REF!+#REF!+#REF!+#REF!+#REF!+#REF!+#REF!+#REF!</f>
        <v>#REF!</v>
      </c>
      <c r="DH424" s="75" t="e">
        <f>+#REF!+#REF!+#REF!+#REF!+#REF!+#REF!+#REF!+#REF!+#REF!+#REF!+#REF!+#REF!+#REF!+#REF!+DH230+#REF!+#REF!+#REF!+#REF!+#REF!+#REF!+#REF!+#REF!+#REF!</f>
        <v>#REF!</v>
      </c>
      <c r="DI424" s="39"/>
      <c r="DJ424" s="75" t="e">
        <f>+#REF!+#REF!+#REF!+#REF!+DJ55+#REF!+#REF!+#REF!+#REF!+#REF!+#REF!+#REF!+#REF!+#REF!+#REF!+DJ230+#REF!+#REF!+#REF!+#REF!+#REF!+#REF!+#REF!+#REF!+#REF!</f>
        <v>#REF!</v>
      </c>
      <c r="DK424" s="75" t="e">
        <f>+#REF!+#REF!+#REF!+#REF!+DK55+#REF!+#REF!+#REF!+#REF!+#REF!+#REF!+#REF!+#REF!+#REF!+#REF!+DK230+#REF!+#REF!+#REF!+#REF!+#REF!+#REF!+#REF!+#REF!+#REF!</f>
        <v>#REF!</v>
      </c>
      <c r="DL424" s="75" t="e">
        <f>+#REF!+#REF!+#REF!+#REF!+DL55+#REF!+#REF!+#REF!+#REF!+#REF!+#REF!+#REF!+#REF!+#REF!+#REF!+DL230+#REF!+#REF!+#REF!+#REF!+#REF!+#REF!+#REF!+#REF!+#REF!</f>
        <v>#REF!</v>
      </c>
      <c r="DM424" s="48">
        <f>+AT424-'[2]тарифы (12-13) население 15%'!AP537</f>
        <v>0</v>
      </c>
      <c r="DN424" s="39"/>
      <c r="DO424" s="39"/>
      <c r="DP424" s="39"/>
      <c r="DQ424" s="39"/>
      <c r="DR424" s="39"/>
      <c r="DS424" s="39"/>
      <c r="DT424" s="39"/>
      <c r="DU424" s="39"/>
      <c r="DV424" s="171" t="e">
        <f>+#REF!+DV23+#REF!+DV55+#REF!+DV81+#REF!+DV132+DV133+#REF!+#REF!+#REF!+#REF!+DV252+#REF!+#REF!+DV304+DV343+#REF!+DV264+DV356</f>
        <v>#REF!</v>
      </c>
      <c r="DW424" s="171" t="e">
        <f>+#REF!+DW23+#REF!+DW55+#REF!+DW81+#REF!+DW132+DW133+#REF!+#REF!+#REF!+#REF!+DW252+#REF!+#REF!+DW304+DW343+#REF!+DW264+DW356</f>
        <v>#REF!</v>
      </c>
      <c r="DX424" s="46"/>
      <c r="DY424" s="20" t="e">
        <f t="shared" si="1671"/>
        <v>#REF!</v>
      </c>
      <c r="DZ424" s="46"/>
      <c r="EA424" s="46"/>
      <c r="EB424" s="46"/>
      <c r="EC424" s="171" t="e">
        <f>+#REF!+EC23+#REF!+EC55+#REF!+EC81+#REF!+EC132+EC133+#REF!+#REF!+#REF!+#REF!+EC252+#REF!+#REF!+EC304+EC343+#REF!+EC264+EC356+#REF!</f>
        <v>#REF!</v>
      </c>
      <c r="ED424" s="171" t="e">
        <f>+#REF!+ED23+#REF!+ED55+#REF!+ED81+#REF!+ED132+ED133+#REF!+#REF!+#REF!+#REF!+ED252+#REF!+#REF!+ED304+ED343+#REF!+ED264+ED356+#REF!</f>
        <v>#REF!</v>
      </c>
      <c r="EE424" s="48" t="e">
        <f>+(EC424+ED424)/1000</f>
        <v>#REF!</v>
      </c>
      <c r="EF424" s="39"/>
      <c r="EG424" s="39"/>
      <c r="EH424" s="39"/>
      <c r="EI424" s="39"/>
      <c r="EJ424" s="22">
        <f t="shared" si="1662"/>
        <v>0</v>
      </c>
      <c r="EK424" s="39"/>
      <c r="EL424" s="83" t="e">
        <f>+#REF!+EL23+#REF!+EL55+#REF!+EL81+#REF!+EL132+EL133+#REF!+#REF!+#REF!+#REF!+EL252+#REF!+#REF!+EL304+EL343+#REF!+EL264+EL356+#REF!</f>
        <v>#REF!</v>
      </c>
      <c r="EM424" s="83" t="e">
        <f>+#REF!+EM23+#REF!+EM55+#REF!+EM81+#REF!+EM132+EM133+#REF!+#REF!+#REF!+#REF!+EM252+#REF!+#REF!+EM304+EM343+#REF!+EM264+EM356+#REF!</f>
        <v>#REF!</v>
      </c>
      <c r="EN424" s="83" t="e">
        <f>+#REF!+EN23+#REF!+EN55+#REF!+EN81+#REF!+EN132+EN133+#REF!+#REF!+#REF!+#REF!+EN252+#REF!+#REF!+EN304+EN343+#REF!+EN264+EN356+#REF!</f>
        <v>#REF!</v>
      </c>
      <c r="EO424" s="83" t="e">
        <f>+#REF!+EO23+#REF!+EO55+#REF!+EO81+#REF!+EO132+EO133+#REF!+#REF!+#REF!+#REF!+EO252+#REF!+#REF!+EO304+EO343+#REF!+EO264+EO356+#REF!</f>
        <v>#REF!</v>
      </c>
      <c r="EP424" s="205"/>
      <c r="EQ424" s="21" t="e">
        <f t="shared" si="1623"/>
        <v>#REF!</v>
      </c>
      <c r="ER424" s="21"/>
      <c r="ES424" s="21"/>
      <c r="ET424" s="21"/>
      <c r="EU424" s="21"/>
      <c r="EV424" s="21"/>
      <c r="EW424" s="39"/>
      <c r="EX424" s="39"/>
      <c r="EY424" s="39"/>
      <c r="EZ424" s="39"/>
      <c r="FA424" s="39"/>
      <c r="FB424" s="39"/>
      <c r="FC424" s="39"/>
      <c r="FD424" s="39"/>
      <c r="FE424" s="39"/>
      <c r="FF424" s="39"/>
      <c r="FG424" s="39"/>
      <c r="FH424" s="39"/>
      <c r="FI424" s="39"/>
      <c r="FJ424" s="51" t="e">
        <f>+#REF!+FJ23+#REF!+FJ55+#REF!+FJ81+#REF!+FJ132+FJ133+#REF!+#REF!+#REF!+#REF!+FJ252+#REF!+#REF!+FJ304+FJ343+#REF!+FJ264+FJ356</f>
        <v>#REF!</v>
      </c>
      <c r="FK424" s="51" t="e">
        <f>+#REF!+FK23+#REF!+FK55+#REF!+FK81+#REF!+FK132+FK133+#REF!+#REF!+#REF!+#REF!+FK252+#REF!+#REF!+FK304+FK343+#REF!+FK264+FK356+#REF!</f>
        <v>#REF!</v>
      </c>
      <c r="FL424" s="46"/>
      <c r="FM424" s="83" t="e">
        <f>+FM23+#REF!+FM55+#REF!+FM81+#REF!+FM132+FM133+#REF!+FM193+#REF!+FM252+FM264+#REF!+FM304+FM343+FM356</f>
        <v>#REF!</v>
      </c>
      <c r="FN424" s="83" t="e">
        <f>+FN23+#REF!+FN55+#REF!+FN81+#REF!+FN132+FN133+#REF!+FN193+#REF!+FN252+FN264+#REF!+FN304+FN343+FN356</f>
        <v>#REF!</v>
      </c>
      <c r="FO424" s="39">
        <f t="shared" si="1624"/>
        <v>0</v>
      </c>
      <c r="FP424" s="39"/>
      <c r="FQ424" s="39"/>
      <c r="FR424" s="39">
        <f t="shared" si="1625"/>
        <v>0</v>
      </c>
      <c r="FS424" s="39"/>
      <c r="FT424" s="39"/>
      <c r="FU424" s="39"/>
      <c r="FV424" s="51" t="e">
        <f>+FV23+#REF!+FV55+#REF!+FV81+#REF!+FV132+FV133+#REF!+FV193+#REF!+FV252+FV264+#REF!+FV304+FV343+FV356</f>
        <v>#REF!</v>
      </c>
      <c r="FW424" s="51" t="e">
        <f>+FW23+#REF!+FW55+#REF!+FW81+#REF!+FW132+FW133+#REF!+FW193+#REF!+FW252+FW264+#REF!+FW304+FW343+FW356+FW279</f>
        <v>#REF!</v>
      </c>
      <c r="FX424" s="165" t="e">
        <f t="shared" si="1629"/>
        <v>#REF!</v>
      </c>
      <c r="FY424" s="19" t="e">
        <f>+FY23+#REF!+FY55+#REF!+FY81+#REF!+FY132+FY133+#REF!+FY193+#REF!+FY252+FY264+#REF!+FY304+FY343+FY356</f>
        <v>#REF!</v>
      </c>
      <c r="FZ424" s="19" t="e">
        <f>+FZ23+#REF!+FZ55+#REF!+FZ81+#REF!+FZ132+FZ133+#REF!+FZ193+#REF!+FZ252+FZ264+#REF!+FZ304+FZ343+FZ356</f>
        <v>#REF!</v>
      </c>
      <c r="GA424" s="19" t="e">
        <f>+GA23+#REF!+GA55+#REF!+GA81+#REF!+GA132+GA133+#REF!+GA193+#REF!+GA252+GA264+#REF!+GA304+GA343+GA356</f>
        <v>#REF!</v>
      </c>
      <c r="GB424" s="19" t="e">
        <f>+GB23+#REF!+GB55+#REF!+GB81+#REF!+GB132+GB133+#REF!+GB193+#REF!+GB252+GB264+#REF!+GB304+GB343+GB356</f>
        <v>#REF!</v>
      </c>
      <c r="GC424" s="20" t="e">
        <f t="shared" si="1632"/>
        <v>#REF!</v>
      </c>
      <c r="GD424" s="20" t="e">
        <f t="shared" si="1669"/>
        <v>#REF!</v>
      </c>
      <c r="GE424" s="21" t="e">
        <f>+GE23+#REF!+GE55+#REF!+GE81+#REF!+GE132+GE133+#REF!+GE193+#REF!+GE252+GE264+#REF!+GE304+GE343+GE356</f>
        <v>#REF!</v>
      </c>
      <c r="GF424" s="21" t="e">
        <f>+GF23+#REF!+GF55+#REF!+GF81+#REF!+GF132+GF133+#REF!+GF193+#REF!+GF252+GF264+#REF!+GF304+GF343+GF356</f>
        <v>#REF!</v>
      </c>
      <c r="GG424" s="48" t="e">
        <f t="shared" si="1653"/>
        <v>#REF!</v>
      </c>
      <c r="GH424" s="48" t="e">
        <f t="shared" si="1653"/>
        <v>#REF!</v>
      </c>
      <c r="GI424" s="21" t="e">
        <f>+GI23+#REF!+GI55+#REF!+GI81+#REF!+GI132+GI133+#REF!+GI193+#REF!+GI252+GI264+#REF!+GI304+GI343+GI356</f>
        <v>#REF!</v>
      </c>
      <c r="GJ424" s="21" t="e">
        <f>+GJ23+#REF!+GJ55+#REF!+GJ81+#REF!+GJ132+GJ133+#REF!+GJ193+#REF!+GJ252+GJ264+#REF!+GJ304+GJ343+GJ356</f>
        <v>#REF!</v>
      </c>
      <c r="GK424" s="48" t="e">
        <f t="shared" si="1654"/>
        <v>#REF!</v>
      </c>
      <c r="GL424" s="48" t="e">
        <f t="shared" si="1654"/>
        <v>#REF!</v>
      </c>
      <c r="GM424" s="83" t="e">
        <f>+#REF!+GM23+#REF!+GM55+#REF!+GM81+#REF!+GM133+GM132+#REF!+#REF!+GM181+#REF!+#REF!+#REF!+GM193+#REF!+#REF!+#REF!+GM252+#REF!+GM264+#REF!+GM279+GM304+GM343+GM356</f>
        <v>#REF!</v>
      </c>
      <c r="GN424" s="83" t="e">
        <f>+#REF!+GN23+#REF!+GN55+#REF!+GN81+#REF!+GN133+GN132+#REF!+#REF!+GN181+#REF!+#REF!+#REF!+GN193+#REF!+#REF!+#REF!+GN252+#REF!+GN264+#REF!+GN279+GN304+GN343+GN356</f>
        <v>#REF!</v>
      </c>
      <c r="GO424" s="166" t="e">
        <f t="shared" si="1664"/>
        <v>#REF!</v>
      </c>
      <c r="GP424" s="166" t="e">
        <f t="shared" si="1665"/>
        <v>#REF!</v>
      </c>
      <c r="GQ424" s="39"/>
      <c r="GR424" s="39">
        <f t="shared" si="1666"/>
        <v>0</v>
      </c>
      <c r="GS424" s="39"/>
      <c r="GT424" s="22"/>
      <c r="GU424" s="167"/>
      <c r="GV424" s="51" t="e">
        <f>+#REF!+GV23+#REF!+GV55+#REF!+GV81+#REF!+GV133+GV132+#REF!+#REF!+GV181+#REF!+#REF!+#REF!+GV193+#REF!+#REF!+#REF!+GV252+#REF!+GV264+#REF!+GV279+GV304+GV343+GV356</f>
        <v>#REF!</v>
      </c>
      <c r="GW424" s="51" t="e">
        <f>+#REF!+GW23+#REF!+GW55+#REF!+GW81+#REF!+GW133+GW132+#REF!+#REF!+GW181+#REF!+#REF!+#REF!+GW193+#REF!+#REF!+#REF!+GW252+#REF!+GW264+#REF!+GW279+GW304+GW343+GW356</f>
        <v>#REF!</v>
      </c>
      <c r="GX424" s="51" t="e">
        <f>+#REF!+GX23+#REF!+GX55+#REF!+GX81+#REF!+GX133+GX132+#REF!+#REF!+GX181+#REF!+#REF!+#REF!+GX193+#REF!+#REF!+#REF!+GX252+#REF!+GX264+#REF!+GX279+GX304+GX343+GX356</f>
        <v>#REF!</v>
      </c>
      <c r="GY424" s="51" t="e">
        <f>+#REF!+GY23+#REF!+GY55+#REF!+GY81+#REF!+GY133+GY132+#REF!+#REF!+GY181+#REF!+#REF!+#REF!+GY193+#REF!+#REF!+#REF!+GY252+#REF!+GY264+#REF!+GY279+GY304+GY343+GY356</f>
        <v>#REF!</v>
      </c>
      <c r="GZ424" s="20" t="e">
        <f t="shared" si="1672"/>
        <v>#REF!</v>
      </c>
      <c r="HA424" s="39">
        <f t="shared" si="1667"/>
        <v>0</v>
      </c>
      <c r="HB424" s="39"/>
      <c r="HC424" s="39"/>
      <c r="HD424" s="39">
        <f t="shared" si="1668"/>
        <v>0</v>
      </c>
      <c r="HE424" s="39"/>
      <c r="HF424" s="207"/>
      <c r="HG424" s="172"/>
    </row>
    <row r="425" spans="1:215" s="14" customFormat="1" ht="20.45" hidden="1" customHeight="1" thickBot="1">
      <c r="A425" s="1"/>
      <c r="B425" s="7"/>
      <c r="C425" s="199" t="s">
        <v>148</v>
      </c>
      <c r="D425" s="206" t="e">
        <f t="shared" si="1658"/>
        <v>#REF!</v>
      </c>
      <c r="E425" s="73" t="e">
        <f>+#REF!+#REF!+#REF!+#REF!+#REF!+#REF!+#REF!+#REF!+#REF!+#REF!+#REF!+E231+#REF!+#REF!+#REF!+#REF!+#REF!+#REF!+#REF!</f>
        <v>#REF!</v>
      </c>
      <c r="F425" s="73" t="e">
        <f>+#REF!+#REF!+#REF!+#REF!+#REF!+#REF!+#REF!+#REF!+#REF!+#REF!+#REF!+F231+#REF!+#REF!+#REF!+#REF!+#REF!+#REF!+#REF!</f>
        <v>#REF!</v>
      </c>
      <c r="G425" s="73" t="e">
        <f>+#REF!+#REF!+#REF!+#REF!+#REF!+#REF!+#REF!+#REF!+#REF!+#REF!+#REF!+G231+#REF!+#REF!+#REF!+#REF!+#REF!+#REF!+#REF!</f>
        <v>#REF!</v>
      </c>
      <c r="H425" s="73" t="e">
        <f>+#REF!+#REF!+#REF!+#REF!+#REF!+#REF!+#REF!+#REF!+#REF!+#REF!+#REF!+H231+#REF!+#REF!+#REF!+#REF!+#REF!+#REF!+#REF!</f>
        <v>#REF!</v>
      </c>
      <c r="I425" s="73" t="e">
        <f>+#REF!+#REF!+#REF!+#REF!+#REF!+#REF!+#REF!+#REF!+#REF!+#REF!+#REF!+I231+#REF!+#REF!+#REF!+#REF!+#REF!+#REF!+#REF!</f>
        <v>#REF!</v>
      </c>
      <c r="J425" s="73" t="e">
        <f>+#REF!+#REF!+#REF!+#REF!+#REF!+#REF!+#REF!+#REF!+#REF!+#REF!+#REF!+J231+#REF!+#REF!+#REF!+#REF!+#REF!+#REF!+#REF!</f>
        <v>#REF!</v>
      </c>
      <c r="K425" s="73" t="e">
        <f>+#REF!+#REF!+#REF!+#REF!+#REF!+#REF!+#REF!+#REF!+#REF!+#REF!+#REF!+K231+#REF!+#REF!+#REF!+#REF!+#REF!+#REF!+#REF!</f>
        <v>#REF!</v>
      </c>
      <c r="L425" s="73" t="e">
        <f>+#REF!+#REF!+#REF!+#REF!+#REF!+#REF!+#REF!+#REF!+#REF!+#REF!+#REF!+L231+#REF!+#REF!+#REF!+#REF!+#REF!+#REF!+#REF!</f>
        <v>#REF!</v>
      </c>
      <c r="M425" s="206" t="e">
        <f>+#REF!+#REF!+#REF!+#REF!+#REF!+#REF!+#REF!+#REF!+#REF!+#REF!+#REF!+M231+#REF!+#REF!+#REF!+#REF!+#REF!+#REF!+#REF!</f>
        <v>#REF!</v>
      </c>
      <c r="N425" s="75" t="e">
        <f>+#REF!+#REF!+#REF!+#REF!+#REF!+#REF!+#REF!+#REF!+#REF!+#REF!+#REF!+N231+#REF!+#REF!+#REF!+#REF!+#REF!+#REF!+#REF!</f>
        <v>#REF!</v>
      </c>
      <c r="O425" s="75" t="e">
        <f>+#REF!+#REF!+#REF!+#REF!+#REF!+#REF!+#REF!+#REF!+#REF!+#REF!+#REF!+O231+#REF!+#REF!+#REF!+#REF!+#REF!+#REF!+#REF!</f>
        <v>#REF!</v>
      </c>
      <c r="P425" s="75" t="e">
        <f>+#REF!+#REF!+#REF!+#REF!+#REF!+#REF!+#REF!+#REF!+#REF!+#REF!+#REF!+P231+#REF!+#REF!+#REF!+#REF!+#REF!+#REF!+#REF!</f>
        <v>#REF!</v>
      </c>
      <c r="Q425" s="75" t="e">
        <f>+#REF!+#REF!+#REF!+#REF!+#REF!+#REF!+#REF!+#REF!+#REF!+#REF!+#REF!+Q231+#REF!+#REF!+#REF!+#REF!+#REF!+#REF!+#REF!</f>
        <v>#REF!</v>
      </c>
      <c r="R425" s="75" t="e">
        <f>+#REF!+#REF!+#REF!+#REF!+#REF!+#REF!+#REF!+#REF!+#REF!+#REF!+#REF!+R231+#REF!+#REF!+#REF!+#REF!+#REF!+#REF!+#REF!</f>
        <v>#REF!</v>
      </c>
      <c r="S425" s="75" t="e">
        <f>+#REF!+#REF!+#REF!+#REF!+#REF!+#REF!+#REF!+#REF!+#REF!+#REF!+#REF!+S231+#REF!+#REF!+#REF!+#REF!+#REF!+#REF!+#REF!</f>
        <v>#REF!</v>
      </c>
      <c r="T425" s="75" t="e">
        <f>+#REF!+#REF!+#REF!+#REF!+#REF!+#REF!+#REF!+#REF!+#REF!+#REF!+#REF!+T231+#REF!+#REF!+#REF!+#REF!+#REF!+#REF!+#REF!</f>
        <v>#REF!</v>
      </c>
      <c r="U425" s="75" t="e">
        <f>+#REF!+#REF!+#REF!+#REF!+#REF!+#REF!+#REF!+#REF!+#REF!+#REF!+#REF!+U231+#REF!+#REF!+#REF!+#REF!+#REF!+#REF!+#REF!</f>
        <v>#REF!</v>
      </c>
      <c r="V425" s="39"/>
      <c r="W425" s="39"/>
      <c r="X425" s="22" t="e">
        <f>+BK425/D425*1000</f>
        <v>#REF!</v>
      </c>
      <c r="Y425" s="39"/>
      <c r="Z425" s="79" t="e">
        <f>+BO425/D425*1000</f>
        <v>#REF!</v>
      </c>
      <c r="AA425" s="39"/>
      <c r="AB425" s="79" t="e">
        <f>+BS425/D425*1000</f>
        <v>#REF!</v>
      </c>
      <c r="AC425" s="19"/>
      <c r="AD425" s="19"/>
      <c r="AE425" s="50"/>
      <c r="AF425" s="19"/>
      <c r="AG425" s="19"/>
      <c r="AH425" s="39"/>
      <c r="AI425" s="39"/>
      <c r="AJ425" s="39"/>
      <c r="AK425" s="39"/>
      <c r="AL425" s="22"/>
      <c r="AM425" s="39"/>
      <c r="AN425" s="39"/>
      <c r="AO425" s="39"/>
      <c r="AP425" s="39"/>
      <c r="AQ425" s="39"/>
      <c r="AR425" s="39"/>
      <c r="AS425" s="50"/>
      <c r="AT425" s="39"/>
      <c r="AU425" s="39"/>
      <c r="AV425" s="77"/>
      <c r="AW425" s="77"/>
      <c r="AX425" s="78"/>
      <c r="AY425" s="171" t="e">
        <f>+#REF!+AY24+#REF!+AY94+#REF!+#REF!+#REF!+#REF!+#REF!+#REF!+AY320+AY344+AY357+#REF!+AY395</f>
        <v>#REF!</v>
      </c>
      <c r="AZ425" s="171" t="e">
        <f>+#REF!+AZ24+#REF!+AZ94+#REF!+#REF!+#REF!+#REF!+#REF!+#REF!+AZ320+AZ344+AZ357+#REF!+AZ395</f>
        <v>#REF!</v>
      </c>
      <c r="BA425" s="171" t="e">
        <f>+#REF!+BA24+#REF!+BA94+#REF!+#REF!+#REF!+#REF!+#REF!+#REF!+BA320+BA344+BA357+#REF!+BA395</f>
        <v>#REF!</v>
      </c>
      <c r="BB425" s="171" t="e">
        <f>+#REF!+BB24+#REF!+BB94+#REF!+#REF!+#REF!+#REF!+#REF!+#REF!+BB320+BB344+BB357+#REF!+BB395</f>
        <v>#REF!</v>
      </c>
      <c r="BC425" s="39"/>
      <c r="BD425" s="39"/>
      <c r="BE425" s="22"/>
      <c r="BF425" s="39"/>
      <c r="BG425" s="39"/>
      <c r="BH425" s="22"/>
      <c r="BI425" s="22"/>
      <c r="BJ425" s="40"/>
      <c r="BK425" s="75" t="e">
        <f>+#REF!+#REF!+#REF!+#REF!+#REF!+#REF!+#REF!+#REF!+#REF!+#REF!+#REF!+BK231+#REF!+#REF!+#REF!+#REF!+#REF!+#REF!+#REF!</f>
        <v>#REF!</v>
      </c>
      <c r="BL425" s="75" t="e">
        <f>+#REF!+#REF!+#REF!+#REF!+#REF!+#REF!+#REF!+#REF!+#REF!+#REF!+#REF!+BL231+#REF!+#REF!+#REF!+#REF!+#REF!+#REF!+#REF!</f>
        <v>#REF!</v>
      </c>
      <c r="BM425" s="75" t="e">
        <f>+#REF!+#REF!+#REF!+#REF!+#REF!+#REF!+#REF!+#REF!+#REF!+#REF!+#REF!+BM231+#REF!+#REF!+#REF!+#REF!+#REF!+#REF!+#REF!</f>
        <v>#REF!</v>
      </c>
      <c r="BN425" s="75" t="e">
        <f>+#REF!+#REF!+#REF!+#REF!+#REF!+#REF!+#REF!+#REF!+#REF!+#REF!+#REF!+BN231+#REF!+#REF!+#REF!+#REF!+#REF!+#REF!+#REF!</f>
        <v>#REF!</v>
      </c>
      <c r="BO425" s="75" t="e">
        <f>+#REF!+#REF!+#REF!+#REF!+#REF!+#REF!+#REF!+#REF!+#REF!+#REF!+#REF!+BO231+#REF!+#REF!+#REF!+#REF!+#REF!+#REF!+#REF!</f>
        <v>#REF!</v>
      </c>
      <c r="BP425" s="75" t="e">
        <f>+#REF!+#REF!+#REF!+#REF!+#REF!+#REF!+#REF!+#REF!+#REF!+#REF!+#REF!+BP231+#REF!+#REF!+#REF!+#REF!+#REF!+#REF!+#REF!</f>
        <v>#REF!</v>
      </c>
      <c r="BQ425" s="75" t="e">
        <f>+#REF!+#REF!+#REF!+#REF!+#REF!+#REF!+#REF!+#REF!+#REF!+#REF!+#REF!+BQ231+#REF!+#REF!+#REF!+#REF!+#REF!+#REF!+#REF!</f>
        <v>#REF!</v>
      </c>
      <c r="BR425" s="75" t="e">
        <f>+#REF!+#REF!+#REF!+#REF!+#REF!+#REF!+#REF!+#REF!+#REF!+#REF!+#REF!+BR231+#REF!+#REF!+#REF!+#REF!+#REF!+#REF!+#REF!</f>
        <v>#REF!</v>
      </c>
      <c r="BS425" s="75" t="e">
        <f>+#REF!+#REF!+#REF!+#REF!+#REF!+#REF!+#REF!+#REF!+#REF!+#REF!+#REF!+BS231+#REF!+#REF!+#REF!+#REF!+#REF!+#REF!+#REF!</f>
        <v>#REF!</v>
      </c>
      <c r="BT425" s="75" t="e">
        <f>+#REF!+#REF!+#REF!+#REF!+#REF!+#REF!+#REF!+#REF!+#REF!+#REF!+#REF!+BT231+#REF!+#REF!+#REF!+#REF!+#REF!+#REF!+#REF!</f>
        <v>#REF!</v>
      </c>
      <c r="BU425" s="75" t="e">
        <f>+#REF!+#REF!+#REF!+#REF!+#REF!+#REF!+#REF!+#REF!+#REF!+#REF!+#REF!+BU231+#REF!+#REF!+#REF!+#REF!+#REF!+#REF!+#REF!</f>
        <v>#REF!</v>
      </c>
      <c r="BV425" s="75" t="e">
        <f>+#REF!+#REF!+#REF!+#REF!+#REF!+#REF!+#REF!+#REF!+#REF!+#REF!+#REF!+BV231+#REF!+#REF!+#REF!+#REF!+#REF!+#REF!+#REF!</f>
        <v>#REF!</v>
      </c>
      <c r="BW425" s="75" t="e">
        <f>+#REF!+#REF!+#REF!+#REF!+#REF!+#REF!+#REF!+#REF!+#REF!+#REF!+#REF!+BW231+#REF!+#REF!+#REF!+#REF!+#REF!+#REF!+#REF!</f>
        <v>#REF!</v>
      </c>
      <c r="BX425" s="75" t="e">
        <f>+#REF!+#REF!+#REF!+#REF!+#REF!+#REF!+#REF!+#REF!+#REF!+#REF!+#REF!+BX231+#REF!+#REF!+#REF!+#REF!+#REF!+#REF!+#REF!</f>
        <v>#REF!</v>
      </c>
      <c r="BY425" s="75" t="e">
        <f>+#REF!+#REF!+#REF!+#REF!+#REF!+#REF!+#REF!+#REF!+#REF!+#REF!+#REF!+BY231+#REF!+#REF!+#REF!+#REF!+#REF!+#REF!+#REF!</f>
        <v>#REF!</v>
      </c>
      <c r="BZ425" s="75" t="e">
        <f>+#REF!+#REF!+#REF!+#REF!+#REF!+#REF!+#REF!+#REF!+#REF!+#REF!+#REF!+BZ231+#REF!+#REF!+#REF!+#REF!+#REF!+#REF!+#REF!</f>
        <v>#REF!</v>
      </c>
      <c r="CA425" s="75" t="e">
        <f>+#REF!+#REF!+#REF!+#REF!+#REF!+#REF!+#REF!+#REF!+#REF!+#REF!+#REF!+CA231+#REF!+#REF!+#REF!+#REF!+#REF!+#REF!+#REF!</f>
        <v>#REF!</v>
      </c>
      <c r="CB425" s="75" t="e">
        <f>+#REF!+#REF!+#REF!+#REF!+#REF!+#REF!+#REF!+#REF!+#REF!+#REF!+#REF!+CB231+#REF!+#REF!+#REF!+#REF!+#REF!+#REF!+#REF!</f>
        <v>#REF!</v>
      </c>
      <c r="CC425" s="75" t="e">
        <f>+#REF!+#REF!+#REF!+#REF!+#REF!+#REF!+#REF!+#REF!+#REF!+#REF!+#REF!+CC231+#REF!+#REF!+#REF!+#REF!+#REF!+#REF!+#REF!</f>
        <v>#REF!</v>
      </c>
      <c r="CD425" s="75" t="e">
        <f>+#REF!+#REF!+#REF!+#REF!+#REF!+#REF!+#REF!+#REF!+#REF!+#REF!+#REF!+CD231+#REF!+#REF!+#REF!+#REF!+#REF!+#REF!+#REF!</f>
        <v>#REF!</v>
      </c>
      <c r="CE425" s="48" t="e">
        <f>+IF(R425=0,,BN425/I425*1000)</f>
        <v>#REF!</v>
      </c>
      <c r="CF425" s="48" t="e">
        <f t="shared" si="1612"/>
        <v>#REF!</v>
      </c>
      <c r="CG425" s="48" t="e">
        <f t="shared" si="1613"/>
        <v>#REF!</v>
      </c>
      <c r="CH425" s="48" t="e">
        <f t="shared" si="1614"/>
        <v>#REF!</v>
      </c>
      <c r="CI425" s="48" t="e">
        <f t="shared" si="1615"/>
        <v>#REF!</v>
      </c>
      <c r="CJ425" s="48" t="e">
        <f t="shared" si="1616"/>
        <v>#REF!</v>
      </c>
      <c r="CK425" s="48" t="e">
        <f t="shared" si="1617"/>
        <v>#REF!</v>
      </c>
      <c r="CL425" s="48" t="e">
        <f t="shared" si="1644"/>
        <v>#REF!</v>
      </c>
      <c r="CM425" s="48" t="e">
        <f t="shared" si="1645"/>
        <v>#REF!</v>
      </c>
      <c r="CN425" s="48" t="e">
        <f t="shared" si="1582"/>
        <v>#REF!</v>
      </c>
      <c r="CO425" s="48" t="e">
        <f t="shared" si="1618"/>
        <v>#REF!</v>
      </c>
      <c r="CP425" s="48" t="e">
        <f t="shared" si="1646"/>
        <v>#REF!</v>
      </c>
      <c r="CQ425" s="48" t="e">
        <f t="shared" si="1619"/>
        <v>#REF!</v>
      </c>
      <c r="CR425" s="48" t="e">
        <f t="shared" si="1620"/>
        <v>#REF!</v>
      </c>
      <c r="CS425" s="48" t="e">
        <f t="shared" si="1621"/>
        <v>#REF!</v>
      </c>
      <c r="CT425" s="48" t="e">
        <f t="shared" si="1647"/>
        <v>#REF!</v>
      </c>
      <c r="CU425" s="48" t="e">
        <f t="shared" si="1648"/>
        <v>#REF!</v>
      </c>
      <c r="CV425" s="48"/>
      <c r="CW425" s="75" t="e">
        <f>+#REF!+#REF!+#REF!+#REF!+#REF!+#REF!+#REF!+#REF!+#REF!+#REF!+#REF!+CW231+#REF!+#REF!+#REF!+#REF!+#REF!+#REF!+#REF!</f>
        <v>#REF!</v>
      </c>
      <c r="CX425" s="75" t="e">
        <f>+#REF!+#REF!+#REF!+#REF!+#REF!+#REF!+#REF!+#REF!+#REF!+#REF!+#REF!+CX231+#REF!+#REF!+#REF!+#REF!+#REF!+#REF!+#REF!</f>
        <v>#REF!</v>
      </c>
      <c r="CY425" s="75" t="e">
        <f>+#REF!+#REF!+#REF!+#REF!+#REF!+#REF!+#REF!+#REF!+#REF!+#REF!+#REF!+CY231+#REF!+#REF!+#REF!+#REF!+#REF!+#REF!+#REF!</f>
        <v>#REF!</v>
      </c>
      <c r="CZ425" s="75" t="e">
        <f>+#REF!+#REF!+#REF!+#REF!+#REF!+#REF!+#REF!+#REF!+#REF!+#REF!+#REF!+CZ231+#REF!+#REF!+#REF!+#REF!+#REF!+#REF!+#REF!</f>
        <v>#REF!</v>
      </c>
      <c r="DA425" s="20" t="e">
        <f t="shared" si="1655"/>
        <v>#REF!</v>
      </c>
      <c r="DB425" s="20" t="e">
        <f t="shared" si="1649"/>
        <v>#REF!</v>
      </c>
      <c r="DC425" s="51" t="e">
        <f t="shared" si="1650"/>
        <v>#REF!</v>
      </c>
      <c r="DD425" s="51" t="e">
        <f t="shared" si="1650"/>
        <v>#REF!</v>
      </c>
      <c r="DE425" s="75" t="e">
        <f>+#REF!+#REF!+#REF!+#REF!+#REF!+#REF!+#REF!+#REF!+#REF!+#REF!+#REF!+DE231+#REF!+#REF!+#REF!+#REF!+#REF!+#REF!+#REF!</f>
        <v>#REF!</v>
      </c>
      <c r="DF425" s="75" t="e">
        <f>+#REF!+#REF!+#REF!+#REF!+#REF!+#REF!+#REF!+#REF!+#REF!+#REF!+#REF!+DF231+#REF!+#REF!+#REF!+#REF!+#REF!+#REF!+#REF!</f>
        <v>#REF!</v>
      </c>
      <c r="DG425" s="75" t="e">
        <f>+#REF!+#REF!+#REF!+#REF!+#REF!+#REF!+#REF!+#REF!+#REF!+#REF!+#REF!+DG231+#REF!+#REF!+#REF!+#REF!+#REF!+#REF!+#REF!</f>
        <v>#REF!</v>
      </c>
      <c r="DH425" s="75" t="e">
        <f>+#REF!+#REF!+#REF!+#REF!+#REF!+#REF!+#REF!+#REF!+#REF!+#REF!+#REF!+DH231+#REF!+#REF!+#REF!+#REF!+#REF!+#REF!+#REF!</f>
        <v>#REF!</v>
      </c>
      <c r="DI425" s="39"/>
      <c r="DJ425" s="75" t="e">
        <f>+#REF!+#REF!+#REF!+#REF!+#REF!+#REF!+#REF!+#REF!+#REF!+#REF!+#REF!+DJ231+#REF!+#REF!+#REF!+#REF!+#REF!+#REF!+#REF!</f>
        <v>#REF!</v>
      </c>
      <c r="DK425" s="75" t="e">
        <f>+#REF!+#REF!+#REF!+#REF!+#REF!+#REF!+#REF!+#REF!+#REF!+#REF!+#REF!+DK231+#REF!+#REF!+#REF!+#REF!+#REF!+#REF!+#REF!</f>
        <v>#REF!</v>
      </c>
      <c r="DL425" s="75" t="e">
        <f>+#REF!+#REF!+#REF!+#REF!+#REF!+#REF!+#REF!+#REF!+#REF!+#REF!+#REF!+DL231+#REF!+#REF!+#REF!+#REF!+#REF!+#REF!+#REF!</f>
        <v>#REF!</v>
      </c>
      <c r="DM425" s="48">
        <f>+AT425-'[2]тарифы (12-13) население 15%'!AP538</f>
        <v>0</v>
      </c>
      <c r="DN425" s="39"/>
      <c r="DO425" s="39"/>
      <c r="DP425" s="39"/>
      <c r="DQ425" s="39"/>
      <c r="DR425" s="39"/>
      <c r="DS425" s="39"/>
      <c r="DT425" s="39"/>
      <c r="DU425" s="39"/>
      <c r="DV425" s="171" t="e">
        <f>+#REF!+DV24+#REF!+DV94+#REF!+#REF!+#REF!+#REF!+#REF!+#REF!+DV320+DV344+DV357+#REF!+DV395+#REF!</f>
        <v>#REF!</v>
      </c>
      <c r="DW425" s="171" t="e">
        <f>+#REF!+DW24+#REF!+DW94+#REF!+#REF!+#REF!+#REF!+#REF!+#REF!+DW320+DW344+DW357+#REF!+DW395+#REF!</f>
        <v>#REF!</v>
      </c>
      <c r="DX425" s="46"/>
      <c r="DY425" s="21" t="e">
        <f t="shared" si="1671"/>
        <v>#REF!</v>
      </c>
      <c r="DZ425" s="46"/>
      <c r="EA425" s="46"/>
      <c r="EB425" s="46"/>
      <c r="EC425" s="39" t="e">
        <f>+#REF!+EC24+#REF!+EC94+#REF!+#REF!+#REF!+#REF!+#REF!+#REF!+EC320+EC344+EC357+#REF!+EC395+#REF!</f>
        <v>#REF!</v>
      </c>
      <c r="ED425" s="39" t="e">
        <f>+#REF!+ED24+#REF!+ED94+#REF!+#REF!+#REF!+#REF!+#REF!+#REF!+ED320+ED344+ED357+#REF!+ED395+#REF!</f>
        <v>#REF!</v>
      </c>
      <c r="EE425" s="39"/>
      <c r="EF425" s="39"/>
      <c r="EG425" s="39"/>
      <c r="EH425" s="39"/>
      <c r="EI425" s="39"/>
      <c r="EJ425" s="22">
        <f t="shared" si="1662"/>
        <v>0</v>
      </c>
      <c r="EK425" s="39"/>
      <c r="EL425" s="83" t="e">
        <f>+#REF!+EL24+#REF!+EL94+#REF!+#REF!+#REF!+#REF!+#REF!+#REF!+EL320+EL344+EL357+#REF!+EL395+#REF!</f>
        <v>#REF!</v>
      </c>
      <c r="EM425" s="83" t="e">
        <f>+#REF!+EM24+#REF!+EM94+#REF!+#REF!+#REF!+#REF!+#REF!+#REF!+EM320+EM344+EM357+#REF!+EM395+#REF!</f>
        <v>#REF!</v>
      </c>
      <c r="EN425" s="205" t="e">
        <f>+#REF!+EN24+#REF!+EN94+#REF!+#REF!+#REF!+#REF!+#REF!+#REF!+EN320+EN344+EN357+#REF!+EN395+#REF!</f>
        <v>#REF!</v>
      </c>
      <c r="EO425" s="205" t="e">
        <f>+#REF!+EO24+#REF!+EO94+#REF!+#REF!+#REF!+#REF!+#REF!+#REF!+EO320+EO344+EO357+#REF!+EO395+#REF!</f>
        <v>#REF!</v>
      </c>
      <c r="EP425" s="205"/>
      <c r="EQ425" s="21" t="e">
        <f>+IF(EO425=0,,EN425/EO425*100)</f>
        <v>#REF!</v>
      </c>
      <c r="ER425" s="21"/>
      <c r="ES425" s="21"/>
      <c r="ET425" s="21"/>
      <c r="EU425" s="21"/>
      <c r="EV425" s="21"/>
      <c r="EW425" s="39"/>
      <c r="EX425" s="166"/>
      <c r="EY425" s="39"/>
      <c r="EZ425" s="39"/>
      <c r="FA425" s="39"/>
      <c r="FB425" s="39"/>
      <c r="FC425" s="39"/>
      <c r="FD425" s="39"/>
      <c r="FE425" s="39"/>
      <c r="FF425" s="39"/>
      <c r="FG425" s="39"/>
      <c r="FH425" s="39"/>
      <c r="FI425" s="39"/>
      <c r="FJ425" s="51" t="e">
        <f>+#REF!+FJ24+#REF!+FJ94+#REF!+#REF!+#REF!+#REF!+#REF!+#REF!+FJ320+FJ344+FJ357+#REF!+FJ395+#REF!</f>
        <v>#REF!</v>
      </c>
      <c r="FK425" s="51" t="e">
        <f>+#REF!+FK24+#REF!+FK94+#REF!+#REF!+#REF!+#REF!+#REF!+#REF!+FK320+FK344+FK357+#REF!+FK395+#REF!</f>
        <v>#REF!</v>
      </c>
      <c r="FL425" s="46"/>
      <c r="FM425" s="83" t="e">
        <f>+FM24+#REF!+FM94+#REF!+#REF!+FM320+FM344+FM357+FM395</f>
        <v>#REF!</v>
      </c>
      <c r="FN425" s="83" t="e">
        <f>+FN24+#REF!+FN94+#REF!+#REF!+FN320+FN344+FN357+FN395</f>
        <v>#REF!</v>
      </c>
      <c r="FO425" s="39">
        <f t="shared" si="1624"/>
        <v>0</v>
      </c>
      <c r="FP425" s="39"/>
      <c r="FQ425" s="39"/>
      <c r="FR425" s="39">
        <f t="shared" si="1625"/>
        <v>0</v>
      </c>
      <c r="FS425" s="39"/>
      <c r="FT425" s="39"/>
      <c r="FU425" s="39"/>
      <c r="FV425" s="51" t="e">
        <f>+FV24+#REF!+FV94+#REF!+#REF!+FV320+FV344+FV357+FV395</f>
        <v>#REF!</v>
      </c>
      <c r="FW425" s="51" t="e">
        <f>+FW24+#REF!+FW94+#REF!+#REF!+FW320+FW344+FW357+FW395</f>
        <v>#REF!</v>
      </c>
      <c r="FX425" s="165" t="e">
        <f t="shared" si="1629"/>
        <v>#REF!</v>
      </c>
      <c r="FY425" s="19" t="e">
        <f>+FY24+#REF!+FY94+#REF!+#REF!+FY320+FY344+FY357+FY395</f>
        <v>#REF!</v>
      </c>
      <c r="FZ425" s="19" t="e">
        <f>+FZ24+#REF!+FZ94+#REF!+#REF!+FZ320+FZ344+FZ357+FZ395</f>
        <v>#REF!</v>
      </c>
      <c r="GA425" s="19" t="e">
        <f>+GA24+#REF!+GA94+#REF!+#REF!+GA320+GA344+GA357+GA395</f>
        <v>#REF!</v>
      </c>
      <c r="GB425" s="19" t="e">
        <f>+GB24+#REF!+GB94+#REF!+#REF!+GB320+GB344+GB357+GB395</f>
        <v>#REF!</v>
      </c>
      <c r="GC425" s="20" t="e">
        <f t="shared" si="1632"/>
        <v>#REF!</v>
      </c>
      <c r="GD425" s="20" t="e">
        <f t="shared" si="1669"/>
        <v>#REF!</v>
      </c>
      <c r="GE425" s="21" t="e">
        <f>+GE24+#REF!+GE94+#REF!+#REF!+GE320+GE344+GE357+GE395</f>
        <v>#REF!</v>
      </c>
      <c r="GF425" s="21" t="e">
        <f>+GF24+#REF!+GF94+#REF!+#REF!+GF320+GF344+GF357+GF395</f>
        <v>#REF!</v>
      </c>
      <c r="GG425" s="48" t="e">
        <f t="shared" si="1653"/>
        <v>#REF!</v>
      </c>
      <c r="GH425" s="48" t="e">
        <f t="shared" si="1653"/>
        <v>#REF!</v>
      </c>
      <c r="GI425" s="21" t="e">
        <f>+GI24+#REF!+GI94+#REF!+#REF!+GI320+GI344+GI357+GI395</f>
        <v>#REF!</v>
      </c>
      <c r="GJ425" s="21" t="e">
        <f>+GJ24+#REF!+GJ94+#REF!+#REF!+GJ320+GJ344+GJ357+GJ395</f>
        <v>#REF!</v>
      </c>
      <c r="GK425" s="48" t="e">
        <f t="shared" si="1654"/>
        <v>#REF!</v>
      </c>
      <c r="GL425" s="48" t="e">
        <f t="shared" si="1654"/>
        <v>#REF!</v>
      </c>
      <c r="GM425" s="83" t="e">
        <f>+#REF!+GM24+#REF!+GM94+#REF!+#REF!+#REF!+#REF!+#REF!+#REF!+#REF!+#REF!+#REF!+#REF!+GM320+GM344+GM357+#REF!+GM395</f>
        <v>#REF!</v>
      </c>
      <c r="GN425" s="83" t="e">
        <f>+#REF!+GN24+#REF!+GN94+#REF!+#REF!+#REF!+#REF!+#REF!+#REF!+#REF!+#REF!+#REF!+#REF!+GN320+GN344+GN357+#REF!+GN395</f>
        <v>#REF!</v>
      </c>
      <c r="GO425" s="166" t="e">
        <f t="shared" si="1664"/>
        <v>#REF!</v>
      </c>
      <c r="GP425" s="166" t="e">
        <f t="shared" si="1665"/>
        <v>#REF!</v>
      </c>
      <c r="GQ425" s="39"/>
      <c r="GR425" s="39">
        <f t="shared" si="1666"/>
        <v>0</v>
      </c>
      <c r="GS425" s="39"/>
      <c r="GT425" s="22"/>
      <c r="GU425" s="167"/>
      <c r="GV425" s="51" t="e">
        <f>+#REF!+GV24+#REF!+GV94+#REF!+#REF!+#REF!+#REF!+#REF!+#REF!+#REF!+#REF!+#REF!+#REF!+GV320+GV344+GV357+#REF!+GV395</f>
        <v>#REF!</v>
      </c>
      <c r="GW425" s="51" t="e">
        <f>+#REF!+GW24+#REF!+GW94+#REF!+#REF!+#REF!+#REF!+#REF!+#REF!+#REF!+#REF!+#REF!+#REF!+GW320+GW344+GW357+#REF!+GW395</f>
        <v>#REF!</v>
      </c>
      <c r="GX425" s="51" t="e">
        <f>+#REF!+GX24+#REF!+GX94+#REF!+#REF!+#REF!+#REF!+#REF!+#REF!+#REF!+#REF!+#REF!+#REF!+GX320+GX344+GX357+#REF!+GX395</f>
        <v>#REF!</v>
      </c>
      <c r="GY425" s="51" t="e">
        <f>+#REF!+GY24+#REF!+GY94+#REF!+#REF!+#REF!+#REF!+#REF!+#REF!+#REF!+#REF!+#REF!+#REF!+GY320+GY344+GY357+#REF!+GY395</f>
        <v>#REF!</v>
      </c>
      <c r="GZ425" s="20" t="e">
        <f t="shared" si="1672"/>
        <v>#REF!</v>
      </c>
      <c r="HA425" s="39">
        <f t="shared" si="1667"/>
        <v>0</v>
      </c>
      <c r="HB425" s="39"/>
      <c r="HC425" s="39"/>
      <c r="HD425" s="39">
        <f t="shared" si="1668"/>
        <v>0</v>
      </c>
      <c r="HE425" s="39"/>
      <c r="HF425" s="207"/>
      <c r="HG425" s="172"/>
    </row>
    <row r="426" spans="1:215" s="14" customFormat="1" ht="20.45" hidden="1" customHeight="1" thickBot="1">
      <c r="A426" s="1"/>
      <c r="B426" s="7"/>
      <c r="C426" s="199" t="s">
        <v>148</v>
      </c>
      <c r="D426" s="206"/>
      <c r="E426" s="73"/>
      <c r="F426" s="73"/>
      <c r="G426" s="73"/>
      <c r="H426" s="73"/>
      <c r="I426" s="73"/>
      <c r="J426" s="73"/>
      <c r="K426" s="73"/>
      <c r="L426" s="73"/>
      <c r="M426" s="206"/>
      <c r="N426" s="75"/>
      <c r="O426" s="75"/>
      <c r="P426" s="75"/>
      <c r="Q426" s="75"/>
      <c r="R426" s="75"/>
      <c r="S426" s="75"/>
      <c r="T426" s="75"/>
      <c r="U426" s="75"/>
      <c r="V426" s="39"/>
      <c r="W426" s="39"/>
      <c r="X426" s="22"/>
      <c r="Y426" s="39"/>
      <c r="Z426" s="79"/>
      <c r="AA426" s="39"/>
      <c r="AB426" s="79"/>
      <c r="AC426" s="19"/>
      <c r="AD426" s="19"/>
      <c r="AE426" s="50"/>
      <c r="AF426" s="19"/>
      <c r="AG426" s="19"/>
      <c r="AH426" s="39"/>
      <c r="AI426" s="39"/>
      <c r="AJ426" s="39"/>
      <c r="AK426" s="39"/>
      <c r="AL426" s="22"/>
      <c r="AM426" s="39"/>
      <c r="AN426" s="39"/>
      <c r="AO426" s="39"/>
      <c r="AP426" s="39"/>
      <c r="AQ426" s="39"/>
      <c r="AR426" s="39"/>
      <c r="AS426" s="50"/>
      <c r="AT426" s="39"/>
      <c r="AU426" s="39"/>
      <c r="AV426" s="77"/>
      <c r="AW426" s="77"/>
      <c r="AX426" s="78"/>
      <c r="AY426" s="171"/>
      <c r="AZ426" s="171"/>
      <c r="BA426" s="171"/>
      <c r="BB426" s="171"/>
      <c r="BC426" s="39"/>
      <c r="BD426" s="39"/>
      <c r="BE426" s="22"/>
      <c r="BF426" s="39"/>
      <c r="BG426" s="39"/>
      <c r="BH426" s="22"/>
      <c r="BI426" s="22"/>
      <c r="BJ426" s="40"/>
      <c r="BK426" s="75"/>
      <c r="BL426" s="75"/>
      <c r="BM426" s="75"/>
      <c r="BN426" s="75"/>
      <c r="BO426" s="75"/>
      <c r="BP426" s="75"/>
      <c r="BQ426" s="75"/>
      <c r="BR426" s="75"/>
      <c r="BS426" s="75"/>
      <c r="BT426" s="75"/>
      <c r="BU426" s="75"/>
      <c r="BV426" s="75"/>
      <c r="BW426" s="75"/>
      <c r="BX426" s="75"/>
      <c r="BY426" s="75"/>
      <c r="BZ426" s="75"/>
      <c r="CA426" s="75"/>
      <c r="CB426" s="75"/>
      <c r="CC426" s="75"/>
      <c r="CD426" s="75"/>
      <c r="CE426" s="48"/>
      <c r="CF426" s="48"/>
      <c r="CG426" s="48"/>
      <c r="CH426" s="48"/>
      <c r="CI426" s="48"/>
      <c r="CJ426" s="48"/>
      <c r="CK426" s="48"/>
      <c r="CL426" s="48"/>
      <c r="CM426" s="48"/>
      <c r="CN426" s="48"/>
      <c r="CO426" s="48"/>
      <c r="CP426" s="48"/>
      <c r="CQ426" s="48"/>
      <c r="CR426" s="48"/>
      <c r="CS426" s="48"/>
      <c r="CT426" s="48"/>
      <c r="CU426" s="48"/>
      <c r="CV426" s="48"/>
      <c r="CW426" s="75"/>
      <c r="CX426" s="75"/>
      <c r="CY426" s="75"/>
      <c r="CZ426" s="75"/>
      <c r="DA426" s="20"/>
      <c r="DB426" s="20"/>
      <c r="DC426" s="51"/>
      <c r="DD426" s="51"/>
      <c r="DE426" s="75"/>
      <c r="DF426" s="75"/>
      <c r="DG426" s="75"/>
      <c r="DH426" s="75"/>
      <c r="DI426" s="39"/>
      <c r="DJ426" s="75"/>
      <c r="DK426" s="75"/>
      <c r="DL426" s="75"/>
      <c r="DM426" s="48"/>
      <c r="DN426" s="39"/>
      <c r="DO426" s="39"/>
      <c r="DP426" s="39"/>
      <c r="DQ426" s="39"/>
      <c r="DR426" s="39"/>
      <c r="DS426" s="39"/>
      <c r="DT426" s="39"/>
      <c r="DU426" s="39"/>
      <c r="DV426" s="171"/>
      <c r="DW426" s="171"/>
      <c r="DX426" s="46"/>
      <c r="DY426" s="21"/>
      <c r="DZ426" s="46"/>
      <c r="EA426" s="46"/>
      <c r="EB426" s="46"/>
      <c r="EC426" s="39"/>
      <c r="ED426" s="39"/>
      <c r="EE426" s="39"/>
      <c r="EF426" s="39"/>
      <c r="EG426" s="39"/>
      <c r="EH426" s="39"/>
      <c r="EI426" s="39"/>
      <c r="EJ426" s="22"/>
      <c r="EK426" s="39"/>
      <c r="EL426" s="83"/>
      <c r="EM426" s="83"/>
      <c r="EN426" s="205" t="e">
        <f>+EN441</f>
        <v>#REF!</v>
      </c>
      <c r="EO426" s="205" t="e">
        <f>+EO441</f>
        <v>#REF!</v>
      </c>
      <c r="EP426" s="205"/>
      <c r="EQ426" s="21"/>
      <c r="ER426" s="21"/>
      <c r="ES426" s="21"/>
      <c r="ET426" s="21"/>
      <c r="EU426" s="21"/>
      <c r="EV426" s="21"/>
      <c r="EW426" s="39"/>
      <c r="EX426" s="166"/>
      <c r="EY426" s="39"/>
      <c r="EZ426" s="39"/>
      <c r="FA426" s="39"/>
      <c r="FB426" s="39"/>
      <c r="FC426" s="39"/>
      <c r="FD426" s="39"/>
      <c r="FE426" s="39"/>
      <c r="FF426" s="39"/>
      <c r="FG426" s="39"/>
      <c r="FH426" s="39"/>
      <c r="FI426" s="39"/>
      <c r="FJ426" s="51"/>
      <c r="FK426" s="51"/>
      <c r="FL426" s="46"/>
      <c r="FM426" s="83"/>
      <c r="FN426" s="83"/>
      <c r="FO426" s="39"/>
      <c r="FP426" s="39"/>
      <c r="FQ426" s="39"/>
      <c r="FR426" s="39"/>
      <c r="FS426" s="39"/>
      <c r="FT426" s="39"/>
      <c r="FU426" s="39"/>
      <c r="FV426" s="51"/>
      <c r="FW426" s="51"/>
      <c r="FX426" s="19"/>
      <c r="FY426" s="19" t="e">
        <f>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FZ426" s="19" t="e">
        <f>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A426" s="19" t="e">
        <f>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B426" s="19" t="e">
        <f>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C426" s="20" t="e">
        <f t="shared" si="1632"/>
        <v>#REF!</v>
      </c>
      <c r="GD426" s="20" t="e">
        <f t="shared" si="1669"/>
        <v>#REF!</v>
      </c>
      <c r="GE426" s="21"/>
      <c r="GF426" s="21"/>
      <c r="GG426" s="21"/>
      <c r="GH426" s="21"/>
      <c r="GI426" s="21"/>
      <c r="GJ426" s="21"/>
      <c r="GK426" s="21"/>
      <c r="GL426" s="21"/>
      <c r="GM426" s="83"/>
      <c r="GN426" s="83"/>
      <c r="GO426" s="166" t="e">
        <f>+(GL420+GL423+GL424+GL425)/(GH420+GH423+GH424+GH425)*100</f>
        <v>#REF!</v>
      </c>
      <c r="GP426" s="166" t="e">
        <f>+(GK420+GK423+GK424+GK425)/(GG420+GG423+GG424+GG425)*100</f>
        <v>#REF!</v>
      </c>
      <c r="GQ426" s="39"/>
      <c r="GR426" s="39"/>
      <c r="GS426" s="39"/>
      <c r="GT426" s="22"/>
      <c r="GU426" s="167"/>
      <c r="GV426" s="51"/>
      <c r="GW426" s="51"/>
      <c r="GX426" s="51" t="e">
        <f>+GB426*1.035</f>
        <v>#REF!</v>
      </c>
      <c r="GY426" s="51" t="e">
        <f>+GX426</f>
        <v>#REF!</v>
      </c>
      <c r="GZ426" s="20" t="e">
        <f t="shared" si="1672"/>
        <v>#REF!</v>
      </c>
      <c r="HA426" s="39"/>
      <c r="HB426" s="39"/>
      <c r="HC426" s="39"/>
      <c r="HD426" s="39"/>
      <c r="HE426" s="39"/>
      <c r="HF426" s="207"/>
      <c r="HG426" s="172"/>
    </row>
    <row r="427" spans="1:215" s="14" customFormat="1" ht="20.45" hidden="1" customHeight="1" thickBot="1">
      <c r="A427" s="1"/>
      <c r="B427" s="7"/>
      <c r="C427" s="199" t="s">
        <v>148</v>
      </c>
      <c r="D427" s="206"/>
      <c r="E427" s="73"/>
      <c r="F427" s="73"/>
      <c r="G427" s="73"/>
      <c r="H427" s="73"/>
      <c r="I427" s="73"/>
      <c r="J427" s="73"/>
      <c r="K427" s="73"/>
      <c r="L427" s="73"/>
      <c r="M427" s="206"/>
      <c r="N427" s="75"/>
      <c r="O427" s="75"/>
      <c r="P427" s="75"/>
      <c r="Q427" s="75"/>
      <c r="R427" s="75"/>
      <c r="S427" s="75"/>
      <c r="T427" s="75"/>
      <c r="U427" s="75"/>
      <c r="V427" s="39"/>
      <c r="W427" s="39"/>
      <c r="X427" s="22"/>
      <c r="Y427" s="39"/>
      <c r="Z427" s="79"/>
      <c r="AA427" s="39"/>
      <c r="AB427" s="79"/>
      <c r="AC427" s="19"/>
      <c r="AD427" s="19"/>
      <c r="AE427" s="50"/>
      <c r="AF427" s="19"/>
      <c r="AG427" s="19"/>
      <c r="AH427" s="39"/>
      <c r="AI427" s="39"/>
      <c r="AJ427" s="39"/>
      <c r="AK427" s="39"/>
      <c r="AL427" s="22"/>
      <c r="AM427" s="39"/>
      <c r="AN427" s="39"/>
      <c r="AO427" s="39"/>
      <c r="AP427" s="39"/>
      <c r="AQ427" s="39"/>
      <c r="AR427" s="39"/>
      <c r="AS427" s="50"/>
      <c r="AT427" s="39"/>
      <c r="AU427" s="39"/>
      <c r="AV427" s="77"/>
      <c r="AW427" s="77"/>
      <c r="AX427" s="78"/>
      <c r="AY427" s="171"/>
      <c r="AZ427" s="171"/>
      <c r="BA427" s="171"/>
      <c r="BB427" s="171"/>
      <c r="BC427" s="39"/>
      <c r="BD427" s="39"/>
      <c r="BE427" s="22"/>
      <c r="BF427" s="39"/>
      <c r="BG427" s="39"/>
      <c r="BH427" s="22"/>
      <c r="BI427" s="22"/>
      <c r="BJ427" s="40"/>
      <c r="BK427" s="75"/>
      <c r="BL427" s="75"/>
      <c r="BM427" s="75"/>
      <c r="BN427" s="75"/>
      <c r="BO427" s="75"/>
      <c r="BP427" s="75"/>
      <c r="BQ427" s="75"/>
      <c r="BR427" s="75"/>
      <c r="BS427" s="75"/>
      <c r="BT427" s="75"/>
      <c r="BU427" s="75"/>
      <c r="BV427" s="75"/>
      <c r="BW427" s="75"/>
      <c r="BX427" s="75"/>
      <c r="BY427" s="75"/>
      <c r="BZ427" s="75"/>
      <c r="CA427" s="75"/>
      <c r="CB427" s="75"/>
      <c r="CC427" s="75"/>
      <c r="CD427" s="75"/>
      <c r="CE427" s="48"/>
      <c r="CF427" s="48"/>
      <c r="CG427" s="48"/>
      <c r="CH427" s="48"/>
      <c r="CI427" s="48"/>
      <c r="CJ427" s="48"/>
      <c r="CK427" s="48"/>
      <c r="CL427" s="48"/>
      <c r="CM427" s="48"/>
      <c r="CN427" s="48"/>
      <c r="CO427" s="48"/>
      <c r="CP427" s="48"/>
      <c r="CQ427" s="48"/>
      <c r="CR427" s="48"/>
      <c r="CS427" s="48"/>
      <c r="CT427" s="48"/>
      <c r="CU427" s="48"/>
      <c r="CV427" s="48"/>
      <c r="CW427" s="75"/>
      <c r="CX427" s="75"/>
      <c r="CY427" s="75"/>
      <c r="CZ427" s="75"/>
      <c r="DA427" s="20"/>
      <c r="DB427" s="20"/>
      <c r="DC427" s="51"/>
      <c r="DD427" s="51"/>
      <c r="DE427" s="75"/>
      <c r="DF427" s="75"/>
      <c r="DG427" s="75"/>
      <c r="DH427" s="75"/>
      <c r="DI427" s="39"/>
      <c r="DJ427" s="75"/>
      <c r="DK427" s="75"/>
      <c r="DL427" s="75"/>
      <c r="DM427" s="48"/>
      <c r="DN427" s="39"/>
      <c r="DO427" s="39"/>
      <c r="DP427" s="39"/>
      <c r="DQ427" s="39"/>
      <c r="DR427" s="39"/>
      <c r="DS427" s="39"/>
      <c r="DT427" s="39"/>
      <c r="DU427" s="39"/>
      <c r="DV427" s="171"/>
      <c r="DW427" s="171"/>
      <c r="DX427" s="46"/>
      <c r="DY427" s="21"/>
      <c r="DZ427" s="46"/>
      <c r="EA427" s="46"/>
      <c r="EB427" s="46"/>
      <c r="EC427" s="39"/>
      <c r="ED427" s="39"/>
      <c r="EE427" s="39"/>
      <c r="EF427" s="39"/>
      <c r="EG427" s="39"/>
      <c r="EH427" s="39"/>
      <c r="EI427" s="39"/>
      <c r="EJ427" s="22"/>
      <c r="EK427" s="39"/>
      <c r="EL427" s="83"/>
      <c r="EM427" s="83"/>
      <c r="EN427" s="205">
        <f>+EN439+EN440</f>
        <v>677745.53898305097</v>
      </c>
      <c r="EO427" s="205">
        <f>+EO439+EO440</f>
        <v>677745.53898305097</v>
      </c>
      <c r="EP427" s="205"/>
      <c r="EQ427" s="21"/>
      <c r="ER427" s="21"/>
      <c r="ES427" s="21"/>
      <c r="ET427" s="21"/>
      <c r="EU427" s="21"/>
      <c r="EV427" s="21"/>
      <c r="EW427" s="39"/>
      <c r="EX427" s="166"/>
      <c r="EY427" s="39"/>
      <c r="EZ427" s="39"/>
      <c r="FA427" s="39"/>
      <c r="FB427" s="39"/>
      <c r="FC427" s="39"/>
      <c r="FD427" s="39"/>
      <c r="FE427" s="39"/>
      <c r="FF427" s="39"/>
      <c r="FG427" s="39"/>
      <c r="FH427" s="39"/>
      <c r="FI427" s="39"/>
      <c r="FJ427" s="51"/>
      <c r="FK427" s="51"/>
      <c r="FL427" s="46"/>
      <c r="FM427" s="83"/>
      <c r="FN427" s="83"/>
      <c r="FO427" s="39"/>
      <c r="FP427" s="39"/>
      <c r="FQ427" s="39"/>
      <c r="FR427" s="39"/>
      <c r="FS427" s="39"/>
      <c r="FT427" s="39"/>
      <c r="FU427" s="39"/>
      <c r="FV427" s="51"/>
      <c r="FW427" s="51"/>
      <c r="FX427" s="19"/>
      <c r="FY427" s="19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FZ427" s="19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A427" s="19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B427" s="19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C427" s="20" t="e">
        <f t="shared" si="1632"/>
        <v>#REF!</v>
      </c>
      <c r="GD427" s="20" t="e">
        <f t="shared" si="1669"/>
        <v>#REF!</v>
      </c>
      <c r="GE427" s="21"/>
      <c r="GF427" s="21"/>
      <c r="GG427" s="21"/>
      <c r="GH427" s="21"/>
      <c r="GI427" s="21"/>
      <c r="GJ427" s="21"/>
      <c r="GK427" s="21"/>
      <c r="GL427" s="21"/>
      <c r="GM427" s="83"/>
      <c r="GN427" s="83"/>
      <c r="GO427" s="166" t="e">
        <f>+GH420+GH423</f>
        <v>#REF!</v>
      </c>
      <c r="GP427" s="39"/>
      <c r="GQ427" s="39"/>
      <c r="GR427" s="39"/>
      <c r="GS427" s="39"/>
      <c r="GT427" s="22"/>
      <c r="GU427" s="167"/>
      <c r="GV427" s="51"/>
      <c r="GW427" s="51"/>
      <c r="GX427" s="51" t="e">
        <f>+GB427*1.035</f>
        <v>#REF!</v>
      </c>
      <c r="GY427" s="51" t="e">
        <f>+GX427</f>
        <v>#REF!</v>
      </c>
      <c r="GZ427" s="20" t="e">
        <f t="shared" si="1672"/>
        <v>#REF!</v>
      </c>
      <c r="HA427" s="39"/>
      <c r="HB427" s="39"/>
      <c r="HC427" s="39"/>
      <c r="HD427" s="39"/>
      <c r="HE427" s="39"/>
      <c r="HF427" s="207"/>
      <c r="HG427" s="172"/>
    </row>
    <row r="428" spans="1:215" s="14" customFormat="1" ht="18.600000000000001" hidden="1" customHeight="1" thickBot="1">
      <c r="A428" s="1"/>
      <c r="B428" s="7"/>
      <c r="C428" s="199" t="s">
        <v>148</v>
      </c>
      <c r="D428" s="200"/>
      <c r="E428" s="200"/>
      <c r="F428" s="200"/>
      <c r="G428" s="200"/>
      <c r="H428" s="200"/>
      <c r="I428" s="200"/>
      <c r="J428" s="200"/>
      <c r="K428" s="200"/>
      <c r="L428" s="200"/>
      <c r="M428" s="200"/>
      <c r="N428" s="200"/>
      <c r="O428" s="200"/>
      <c r="P428" s="200"/>
      <c r="Q428" s="200"/>
      <c r="R428" s="200"/>
      <c r="S428" s="200"/>
      <c r="T428" s="200"/>
      <c r="U428" s="200"/>
      <c r="V428" s="39"/>
      <c r="W428" s="39"/>
      <c r="X428" s="22"/>
      <c r="Y428" s="39"/>
      <c r="Z428" s="79"/>
      <c r="AA428" s="39"/>
      <c r="AB428" s="79"/>
      <c r="AC428" s="39"/>
      <c r="AD428" s="39"/>
      <c r="AE428" s="50"/>
      <c r="AF428" s="19"/>
      <c r="AG428" s="19"/>
      <c r="AH428" s="39"/>
      <c r="AI428" s="39"/>
      <c r="AJ428" s="39"/>
      <c r="AK428" s="39"/>
      <c r="AL428" s="22"/>
      <c r="AM428" s="39"/>
      <c r="AN428" s="39"/>
      <c r="AO428" s="39"/>
      <c r="AP428" s="39"/>
      <c r="AQ428" s="39"/>
      <c r="AR428" s="39"/>
      <c r="AS428" s="50"/>
      <c r="AT428" s="39"/>
      <c r="AU428" s="39"/>
      <c r="AV428" s="77"/>
      <c r="AW428" s="77"/>
      <c r="AX428" s="78"/>
      <c r="AY428" s="78"/>
      <c r="AZ428" s="78"/>
      <c r="BA428" s="78"/>
      <c r="BB428" s="78"/>
      <c r="BC428" s="39"/>
      <c r="BD428" s="39"/>
      <c r="BE428" s="22"/>
      <c r="BF428" s="39"/>
      <c r="BG428" s="39"/>
      <c r="BH428" s="22"/>
      <c r="BI428" s="22"/>
      <c r="BJ428" s="40"/>
      <c r="BK428" s="46"/>
      <c r="BL428" s="46"/>
      <c r="BM428" s="46"/>
      <c r="BN428" s="46"/>
      <c r="BO428" s="46"/>
      <c r="BP428" s="46"/>
      <c r="BQ428" s="46"/>
      <c r="BR428" s="46"/>
      <c r="BS428" s="46"/>
      <c r="BT428" s="46"/>
      <c r="BU428" s="19" t="e">
        <f>+BU412+BU415+BU416+BU417+BU419+BU420+BU424+BU425+BU411</f>
        <v>#REF!</v>
      </c>
      <c r="BV428" s="46"/>
      <c r="BW428" s="46"/>
      <c r="BX428" s="200"/>
      <c r="BY428" s="46"/>
      <c r="BZ428" s="46"/>
      <c r="CA428" s="46"/>
      <c r="CB428" s="46"/>
      <c r="CC428" s="19"/>
      <c r="CD428" s="46"/>
      <c r="CE428" s="46">
        <f t="shared" ref="CE428:CE438" si="1673">+IF(R428=0,,BN428/R428*1000)</f>
        <v>0</v>
      </c>
      <c r="CF428" s="46">
        <f t="shared" si="1612"/>
        <v>0</v>
      </c>
      <c r="CG428" s="46">
        <f t="shared" si="1613"/>
        <v>0</v>
      </c>
      <c r="CH428" s="46">
        <f t="shared" si="1614"/>
        <v>0</v>
      </c>
      <c r="CI428" s="46">
        <f t="shared" si="1615"/>
        <v>0</v>
      </c>
      <c r="CJ428" s="46">
        <f t="shared" si="1616"/>
        <v>0</v>
      </c>
      <c r="CK428" s="46">
        <f t="shared" si="1617"/>
        <v>0</v>
      </c>
      <c r="CL428" s="46">
        <f t="shared" si="1644"/>
        <v>0</v>
      </c>
      <c r="CM428" s="46">
        <f t="shared" si="1645"/>
        <v>0</v>
      </c>
      <c r="CN428" s="46"/>
      <c r="CO428" s="46">
        <f t="shared" si="1618"/>
        <v>0</v>
      </c>
      <c r="CP428" s="46"/>
      <c r="CQ428" s="46"/>
      <c r="CR428" s="46">
        <f t="shared" si="1620"/>
        <v>0</v>
      </c>
      <c r="CS428" s="46"/>
      <c r="CT428" s="46"/>
      <c r="CU428" s="46"/>
      <c r="CV428" s="46"/>
      <c r="CW428" s="200"/>
      <c r="CX428" s="46"/>
      <c r="CY428" s="39"/>
      <c r="CZ428" s="39"/>
      <c r="DA428" s="39"/>
      <c r="DB428" s="20">
        <f t="shared" si="1649"/>
        <v>0</v>
      </c>
      <c r="DC428" s="51">
        <f t="shared" si="1650"/>
        <v>0</v>
      </c>
      <c r="DD428" s="51">
        <f t="shared" si="1650"/>
        <v>0</v>
      </c>
      <c r="DE428" s="39"/>
      <c r="DF428" s="39"/>
      <c r="DG428" s="39"/>
      <c r="DH428" s="39"/>
      <c r="DI428" s="39"/>
      <c r="DJ428" s="39"/>
      <c r="DK428" s="39"/>
      <c r="DL428" s="39"/>
      <c r="DM428" s="48">
        <f>+AT428-'[2]тарифы (12-13) население 15%'!AP539</f>
        <v>0</v>
      </c>
      <c r="DN428" s="39"/>
      <c r="DO428" s="39"/>
      <c r="DP428" s="39"/>
      <c r="DQ428" s="39"/>
      <c r="DR428" s="39"/>
      <c r="DS428" s="39"/>
      <c r="DT428" s="39"/>
      <c r="DU428" s="39"/>
      <c r="DV428" s="39"/>
      <c r="DW428" s="39"/>
      <c r="DX428" s="46"/>
      <c r="DY428" s="21">
        <f t="shared" si="1671"/>
        <v>0</v>
      </c>
      <c r="DZ428" s="46"/>
      <c r="EA428" s="46"/>
      <c r="EB428" s="46"/>
      <c r="EC428" s="166" t="e">
        <f>+EC412+EC413+EC415+EC416+EC417+EC420+EC423+EC424</f>
        <v>#REF!</v>
      </c>
      <c r="ED428" s="166" t="e">
        <f>+ED412+ED413+ED415+ED416+ED417+ED420+ED423+ED424</f>
        <v>#REF!</v>
      </c>
      <c r="EE428" s="39"/>
      <c r="EF428" s="39"/>
      <c r="EG428" s="39"/>
      <c r="EH428" s="39"/>
      <c r="EI428" s="39"/>
      <c r="EJ428" s="22">
        <f t="shared" si="1662"/>
        <v>0</v>
      </c>
      <c r="EK428" s="39"/>
      <c r="EL428" s="19"/>
      <c r="EM428" s="19"/>
      <c r="EN428" s="181" t="e">
        <f>+EN418+EN419+EN423+EN420+EN424+EN425+EN426+EN427</f>
        <v>#REF!</v>
      </c>
      <c r="EO428" s="181" t="e">
        <f>+EO418+EO419+EO423+EO420+EO424+EO425+EO426+EO427</f>
        <v>#REF!</v>
      </c>
      <c r="EP428" s="181"/>
      <c r="EQ428" s="21" t="e">
        <f t="shared" si="1623"/>
        <v>#REF!</v>
      </c>
      <c r="ER428" s="21"/>
      <c r="ES428" s="21"/>
      <c r="ET428" s="21"/>
      <c r="EU428" s="21"/>
      <c r="EV428" s="21"/>
      <c r="EW428" s="39"/>
      <c r="EX428" s="39"/>
      <c r="EY428" s="166"/>
      <c r="EZ428" s="39"/>
      <c r="FA428" s="39"/>
      <c r="FB428" s="39"/>
      <c r="FC428" s="39"/>
      <c r="FD428" s="39"/>
      <c r="FE428" s="39"/>
      <c r="FF428" s="39"/>
      <c r="FG428" s="39"/>
      <c r="FH428" s="39"/>
      <c r="FI428" s="39"/>
      <c r="FJ428" s="41" t="e">
        <f>+FJ418+FJ419+FJ423+FJ420+FJ424+FJ425</f>
        <v>#REF!</v>
      </c>
      <c r="FK428" s="41" t="e">
        <f>+FK418+FK419+FK423+FK420+FK424+FK425</f>
        <v>#REF!</v>
      </c>
      <c r="FL428" s="41"/>
      <c r="FM428" s="19"/>
      <c r="FN428" s="19"/>
      <c r="FO428" s="39">
        <f t="shared" si="1624"/>
        <v>0</v>
      </c>
      <c r="FP428" s="39"/>
      <c r="FQ428" s="39"/>
      <c r="FR428" s="39">
        <f t="shared" si="1625"/>
        <v>0</v>
      </c>
      <c r="FS428" s="39"/>
      <c r="FT428" s="39"/>
      <c r="FU428" s="39"/>
      <c r="FV428" s="41" t="e">
        <f>+FV418+FV419+FV423+FV420+FV424+FV425</f>
        <v>#REF!</v>
      </c>
      <c r="FW428" s="41" t="e">
        <f>+FW418+FW419+FW423+FW420+FW424+FW425</f>
        <v>#REF!</v>
      </c>
      <c r="FX428" s="41" t="e">
        <f>+(FW428)-FV428</f>
        <v>#REF!</v>
      </c>
      <c r="FY428" s="41" t="e">
        <f>+FY427+FY426+FY423+FY420+FY418+FY419+FY438</f>
        <v>#REF!</v>
      </c>
      <c r="FZ428" s="41" t="e">
        <f>+FZ427+FZ426+FZ423+FZ420+FZ418+FZ419+FZ438</f>
        <v>#REF!</v>
      </c>
      <c r="GA428" s="41" t="e">
        <f>+GA427+GA426+GA423+GA420+GA418+GA419+GA438</f>
        <v>#REF!</v>
      </c>
      <c r="GB428" s="41" t="e">
        <f>+GB427+GB426+GB423+GB420+GB418+GB419+GB438</f>
        <v>#REF!</v>
      </c>
      <c r="GC428" s="20" t="e">
        <f>+IF(FZ428=0,,FY428/FZ428*100)</f>
        <v>#REF!</v>
      </c>
      <c r="GD428" s="20" t="e">
        <f>+IF(GB428=0,,GA428/GB428*100)</f>
        <v>#REF!</v>
      </c>
      <c r="GE428" s="48" t="e">
        <f>+GE418+GE419+GE423+GE420+GE424+GE425+GE426+GE427</f>
        <v>#REF!</v>
      </c>
      <c r="GF428" s="48" t="e">
        <f>+GF418+GF419+GF423+GF420+GF424+GF425+GF426+GF427</f>
        <v>#REF!</v>
      </c>
      <c r="GG428" s="21"/>
      <c r="GH428" s="21"/>
      <c r="GI428" s="48" t="e">
        <f>+GI418+GI419+GI423+GI420+GI424+GI425+GI426+GI427</f>
        <v>#REF!</v>
      </c>
      <c r="GJ428" s="48" t="e">
        <f>+GJ418+GJ419+GJ423+GJ420+GJ424+GJ425+GJ426+GJ427</f>
        <v>#REF!</v>
      </c>
      <c r="GK428" s="21"/>
      <c r="GL428" s="21"/>
      <c r="GM428" s="19"/>
      <c r="GN428" s="19"/>
      <c r="GO428" s="163" t="e">
        <f>+GO426/GO427</f>
        <v>#REF!</v>
      </c>
      <c r="GP428" s="39"/>
      <c r="GQ428" s="39"/>
      <c r="GR428" s="39">
        <f t="shared" ref="GR428" si="1674">+EX428</f>
        <v>0</v>
      </c>
      <c r="GS428" s="39"/>
      <c r="GT428" s="22"/>
      <c r="GU428" s="167"/>
      <c r="GV428" s="41" t="e">
        <f>+GV418+GV419+GV423+GV420+GV424+GV425</f>
        <v>#REF!</v>
      </c>
      <c r="GW428" s="41" t="e">
        <f>+GW418+GW419+GW423+GW420+GW424+GW425</f>
        <v>#REF!</v>
      </c>
      <c r="GX428" s="41" t="e">
        <f>+GX418+GX419+GX423+GX420+GX424+GX425+GX426+GX427</f>
        <v>#REF!</v>
      </c>
      <c r="GY428" s="41" t="e">
        <f>+GY418+GY419+GY423+GY420+GY424+GY425+GY426+GY427</f>
        <v>#REF!</v>
      </c>
      <c r="GZ428" s="168" t="e">
        <f t="shared" si="1672"/>
        <v>#REF!</v>
      </c>
      <c r="HA428" s="39">
        <f t="shared" ref="HA428" si="1675">+FA428</f>
        <v>0</v>
      </c>
      <c r="HB428" s="39"/>
      <c r="HC428" s="39"/>
      <c r="HD428" s="39">
        <f t="shared" ref="HD428" si="1676">+FD428</f>
        <v>0</v>
      </c>
      <c r="HE428" s="39"/>
      <c r="HF428" s="207"/>
      <c r="HG428" s="172"/>
    </row>
    <row r="429" spans="1:215" s="14" customFormat="1" ht="18.600000000000001" hidden="1" customHeight="1" thickBot="1">
      <c r="A429" s="1"/>
      <c r="B429" s="15"/>
      <c r="C429" s="199" t="s">
        <v>148</v>
      </c>
      <c r="D429" s="200"/>
      <c r="E429" s="200"/>
      <c r="F429" s="200"/>
      <c r="G429" s="200"/>
      <c r="H429" s="200"/>
      <c r="I429" s="200"/>
      <c r="J429" s="200"/>
      <c r="K429" s="200"/>
      <c r="L429" s="200"/>
      <c r="M429" s="200"/>
      <c r="N429" s="200"/>
      <c r="O429" s="200"/>
      <c r="P429" s="200"/>
      <c r="Q429" s="200"/>
      <c r="R429" s="200"/>
      <c r="S429" s="200"/>
      <c r="T429" s="200"/>
      <c r="U429" s="200"/>
      <c r="V429" s="39"/>
      <c r="W429" s="39"/>
      <c r="X429" s="22"/>
      <c r="Y429" s="39"/>
      <c r="Z429" s="79"/>
      <c r="AA429" s="39"/>
      <c r="AB429" s="79"/>
      <c r="AC429" s="39"/>
      <c r="AD429" s="39"/>
      <c r="AE429" s="50"/>
      <c r="AF429" s="19"/>
      <c r="AG429" s="19"/>
      <c r="AH429" s="39"/>
      <c r="AI429" s="39"/>
      <c r="AJ429" s="39"/>
      <c r="AK429" s="39"/>
      <c r="AL429" s="22"/>
      <c r="AM429" s="39"/>
      <c r="AN429" s="39"/>
      <c r="AO429" s="39"/>
      <c r="AP429" s="39"/>
      <c r="AQ429" s="39"/>
      <c r="AR429" s="39"/>
      <c r="AS429" s="50"/>
      <c r="AT429" s="39"/>
      <c r="AU429" s="39"/>
      <c r="AV429" s="77"/>
      <c r="AW429" s="77"/>
      <c r="AX429" s="78"/>
      <c r="AY429" s="78"/>
      <c r="AZ429" s="78"/>
      <c r="BA429" s="78"/>
      <c r="BB429" s="78"/>
      <c r="BC429" s="39"/>
      <c r="BD429" s="39"/>
      <c r="BE429" s="22"/>
      <c r="BF429" s="39"/>
      <c r="BG429" s="39"/>
      <c r="BH429" s="22"/>
      <c r="BI429" s="22"/>
      <c r="BJ429" s="40"/>
      <c r="BK429" s="46"/>
      <c r="BL429" s="46"/>
      <c r="BM429" s="46"/>
      <c r="BN429" s="46"/>
      <c r="BO429" s="46"/>
      <c r="BP429" s="46"/>
      <c r="BQ429" s="46"/>
      <c r="BR429" s="46"/>
      <c r="BS429" s="46"/>
      <c r="BT429" s="46"/>
      <c r="BU429" s="46"/>
      <c r="BV429" s="46"/>
      <c r="BW429" s="46"/>
      <c r="BX429" s="200"/>
      <c r="BY429" s="46"/>
      <c r="BZ429" s="46"/>
      <c r="CA429" s="46"/>
      <c r="CB429" s="46"/>
      <c r="CC429" s="46"/>
      <c r="CD429" s="46"/>
      <c r="CE429" s="46"/>
      <c r="CF429" s="46"/>
      <c r="CG429" s="46"/>
      <c r="CH429" s="46"/>
      <c r="CI429" s="46"/>
      <c r="CJ429" s="46"/>
      <c r="CK429" s="46"/>
      <c r="CL429" s="46"/>
      <c r="CM429" s="46"/>
      <c r="CN429" s="46"/>
      <c r="CO429" s="46"/>
      <c r="CP429" s="46"/>
      <c r="CQ429" s="46"/>
      <c r="CR429" s="46"/>
      <c r="CS429" s="46"/>
      <c r="CT429" s="46"/>
      <c r="CU429" s="46"/>
      <c r="CV429" s="46"/>
      <c r="CW429" s="200"/>
      <c r="CX429" s="46"/>
      <c r="CY429" s="39"/>
      <c r="CZ429" s="39"/>
      <c r="DA429" s="39"/>
      <c r="DB429" s="20"/>
      <c r="DC429" s="51"/>
      <c r="DD429" s="51"/>
      <c r="DE429" s="39"/>
      <c r="DF429" s="39"/>
      <c r="DG429" s="39"/>
      <c r="DH429" s="39"/>
      <c r="DI429" s="39"/>
      <c r="DJ429" s="39"/>
      <c r="DK429" s="39"/>
      <c r="DL429" s="39"/>
      <c r="DM429" s="48"/>
      <c r="DN429" s="39"/>
      <c r="DO429" s="39"/>
      <c r="DP429" s="39"/>
      <c r="DQ429" s="39"/>
      <c r="DR429" s="39"/>
      <c r="DS429" s="39"/>
      <c r="DT429" s="39"/>
      <c r="DU429" s="39"/>
      <c r="DV429" s="39"/>
      <c r="DW429" s="39"/>
      <c r="DX429" s="46"/>
      <c r="DY429" s="21"/>
      <c r="DZ429" s="46"/>
      <c r="EA429" s="46"/>
      <c r="EB429" s="46"/>
      <c r="EC429" s="39"/>
      <c r="ED429" s="39"/>
      <c r="EE429" s="39"/>
      <c r="EF429" s="39"/>
      <c r="EG429" s="39"/>
      <c r="EH429" s="39"/>
      <c r="EI429" s="39"/>
      <c r="EJ429" s="22"/>
      <c r="EK429" s="39"/>
      <c r="EL429" s="19"/>
      <c r="EM429" s="19"/>
      <c r="EN429" s="21">
        <f>(1767233.8/9*12)</f>
        <v>2356311.7333333334</v>
      </c>
      <c r="EO429" s="21">
        <f>+EN429</f>
        <v>2356311.7333333334</v>
      </c>
      <c r="EP429" s="181"/>
      <c r="EQ429" s="21"/>
      <c r="ER429" s="21"/>
      <c r="ES429" s="21"/>
      <c r="ET429" s="21"/>
      <c r="EU429" s="21"/>
      <c r="EV429" s="21"/>
      <c r="EW429" s="39"/>
      <c r="EX429" s="39"/>
      <c r="EY429" s="166"/>
      <c r="EZ429" s="39"/>
      <c r="FA429" s="39"/>
      <c r="FB429" s="39"/>
      <c r="FC429" s="39"/>
      <c r="FD429" s="39"/>
      <c r="FE429" s="39"/>
      <c r="FF429" s="39"/>
      <c r="FG429" s="39"/>
      <c r="FH429" s="39"/>
      <c r="FI429" s="39"/>
      <c r="FJ429" s="41"/>
      <c r="FK429" s="41"/>
      <c r="FL429" s="41"/>
      <c r="FM429" s="38"/>
      <c r="FN429" s="38"/>
      <c r="FO429" s="39"/>
      <c r="FP429" s="39"/>
      <c r="FQ429" s="39"/>
      <c r="FR429" s="39"/>
      <c r="FS429" s="39"/>
      <c r="FT429" s="22"/>
      <c r="FU429" s="22"/>
      <c r="FV429" s="41"/>
      <c r="FW429" s="41"/>
      <c r="FX429" s="41"/>
      <c r="FY429" s="41">
        <v>2867279</v>
      </c>
      <c r="FZ429" s="41">
        <f>+FY429</f>
        <v>2867279</v>
      </c>
      <c r="GA429" s="41">
        <f>+FZ429</f>
        <v>2867279</v>
      </c>
      <c r="GB429" s="41">
        <f>+GA429</f>
        <v>2867279</v>
      </c>
      <c r="GC429" s="48">
        <f>+IF(FZ429=0,,FY429/FZ429*100)</f>
        <v>100</v>
      </c>
      <c r="GD429" s="48">
        <f>+IF(GB429=0,,GA429/GB429*100)</f>
        <v>100</v>
      </c>
      <c r="GE429" s="21"/>
      <c r="GF429" s="21"/>
      <c r="GG429" s="21"/>
      <c r="GH429" s="21"/>
      <c r="GI429" s="21"/>
      <c r="GJ429" s="21"/>
      <c r="GK429" s="21"/>
      <c r="GL429" s="21"/>
      <c r="GM429" s="38"/>
      <c r="GN429" s="38"/>
      <c r="GO429" s="39"/>
      <c r="GP429" s="39"/>
      <c r="GQ429" s="39"/>
      <c r="GR429" s="39"/>
      <c r="GS429" s="39"/>
      <c r="GT429" s="22"/>
      <c r="GU429" s="169"/>
      <c r="GV429" s="41"/>
      <c r="GW429" s="41"/>
      <c r="GX429" s="41">
        <f>741130.6/3*12*1.04*1.035</f>
        <v>3191011.9113599998</v>
      </c>
      <c r="GY429" s="41">
        <f>+GX429</f>
        <v>3191011.9113599998</v>
      </c>
      <c r="GZ429" s="41">
        <f>+IF(GY429=0,,GX429/GY429*100)</f>
        <v>100</v>
      </c>
      <c r="HA429" s="39"/>
      <c r="HB429" s="39"/>
      <c r="HC429" s="39"/>
      <c r="HD429" s="39"/>
      <c r="HE429" s="39"/>
      <c r="HF429" s="207"/>
      <c r="HG429" s="169"/>
    </row>
    <row r="430" spans="1:215" s="14" customFormat="1" ht="16.149999999999999" hidden="1" customHeight="1" thickBot="1">
      <c r="A430" s="1"/>
      <c r="B430" s="9"/>
      <c r="C430" s="199" t="s">
        <v>148</v>
      </c>
      <c r="D430" s="206" t="e">
        <f>+#REF!+#REF!+D26+#REF!+D28+#REF!+D30+#REF!+#REF!+#REF!+D50+D52+#REF!+#REF!+#REF!+#REF!+#REF!+#REF!+#REF!+#REF!+#REF!+#REF!+D71+#REF!+#REF!+#REF!+#REF!+#REF!+#REF!+#REF!+#REF!+D156+#REF!+D195+D197+#REF!+D199+#REF!+D239+#REF!+D254+#REF!+#REF!+#REF!+D266+D282+#REF!+#REF!+D285+D287+#REF!+D290+#REF!+#REF!+#REF!+#REF!+#REF!+#REF!+#REF!+#REF!+#REF!+D322+D325+#REF!+#REF!+D359+#REF!+#REF!+#REF!+#REF!+#REF!+#REF!+#REF!+#REF!+#REF!+#REF!+#REF!+#REF!+#REF!+#REF!+D397+#REF!+#REF!+D412-D290</f>
        <v>#REF!</v>
      </c>
      <c r="E430" s="206" t="e">
        <f>+#REF!+#REF!+E26+#REF!+E28+#REF!+E30+#REF!+#REF!+#REF!+E50+E52+#REF!+#REF!+#REF!+#REF!+#REF!+#REF!+#REF!+#REF!+#REF!+#REF!+E71+#REF!+#REF!+#REF!+#REF!+#REF!+#REF!+#REF!+#REF!+E156+#REF!+E195+E197+#REF!+E199+#REF!+E239+#REF!+E254+#REF!+#REF!+#REF!+E266+E282+#REF!+#REF!+E285+E287+#REF!+E290+#REF!+#REF!+#REF!+#REF!+#REF!+#REF!+#REF!+#REF!+#REF!+E322+E325+#REF!+#REF!+E359+#REF!+#REF!+#REF!+#REF!+#REF!+#REF!+#REF!+#REF!+#REF!+#REF!+#REF!+#REF!+#REF!+#REF!+E397+#REF!+#REF!+E412-E290</f>
        <v>#REF!</v>
      </c>
      <c r="F430" s="206" t="e">
        <f>+#REF!+#REF!+F26+#REF!+F28+#REF!+F30+#REF!+#REF!+#REF!+F50+F52+#REF!+#REF!+#REF!+#REF!+#REF!+#REF!+#REF!+#REF!+#REF!+#REF!+F71+#REF!+#REF!+#REF!+#REF!+#REF!+#REF!+#REF!+#REF!+F156+#REF!+F195+F197+#REF!+F199+#REF!+F239+#REF!+F254+#REF!+#REF!+#REF!+F266+F282+#REF!+#REF!+F285+F287+#REF!+F290+#REF!+#REF!+#REF!+#REF!+#REF!+#REF!+#REF!+#REF!+#REF!+F322+F325+#REF!+#REF!+F359+#REF!+#REF!+#REF!+#REF!+#REF!+#REF!+#REF!+#REF!+#REF!+#REF!+#REF!+#REF!+#REF!+#REF!+F397+#REF!+#REF!+F412-F290</f>
        <v>#REF!</v>
      </c>
      <c r="G430" s="206" t="e">
        <f>+#REF!+#REF!+G26+#REF!+G28+#REF!+G30+#REF!+#REF!+#REF!+G50+G52+#REF!+#REF!+#REF!+#REF!+#REF!+#REF!+#REF!+#REF!+#REF!+#REF!+G71+#REF!+#REF!+#REF!+#REF!+#REF!+#REF!+#REF!+#REF!+G156+#REF!+G195+G197+#REF!+G199+#REF!+G239+#REF!+G254+#REF!+#REF!+#REF!+G266+G282+#REF!+#REF!+G285+G287+#REF!+G290+#REF!+#REF!+#REF!+#REF!+#REF!+#REF!+#REF!+#REF!+#REF!+G322+G325+#REF!+#REF!+G359+#REF!+#REF!+#REF!+#REF!+#REF!+#REF!+#REF!+#REF!+#REF!+#REF!+#REF!+#REF!+#REF!+#REF!+G397+#REF!+#REF!+G412-G290</f>
        <v>#REF!</v>
      </c>
      <c r="H430" s="206" t="e">
        <f>+#REF!+#REF!+H26+#REF!+H28+#REF!+H30+#REF!+#REF!+#REF!+H50+H52+#REF!+#REF!+#REF!+#REF!+#REF!+#REF!+#REF!+#REF!+#REF!+#REF!+H71+#REF!+#REF!+#REF!+#REF!+#REF!+#REF!+#REF!+#REF!+H156+#REF!+H195+H197+#REF!+H199+#REF!+H239+#REF!+H254+#REF!+#REF!+#REF!+H266+H282+#REF!+#REF!+H285+H287+#REF!+H290+#REF!+#REF!+#REF!+#REF!+#REF!+#REF!+#REF!+#REF!+#REF!+H322+H325+#REF!+#REF!+H359+#REF!+#REF!+#REF!+#REF!+#REF!+#REF!+#REF!+#REF!+#REF!+#REF!+#REF!+#REF!+#REF!+#REF!+H397+#REF!+#REF!+H412-H290</f>
        <v>#REF!</v>
      </c>
      <c r="I430" s="206" t="e">
        <f>+#REF!+#REF!+I26+#REF!+I28+#REF!+I30+#REF!+#REF!+#REF!+I50+I52+#REF!+#REF!+#REF!+#REF!+#REF!+#REF!+#REF!+#REF!+#REF!+#REF!+I71+#REF!+#REF!+#REF!+#REF!+#REF!+#REF!+#REF!+#REF!+I156+#REF!+I195+I197+#REF!+I199+#REF!+I239+#REF!+I254+#REF!+#REF!+#REF!+I266+I282+#REF!+#REF!+I285+I287+#REF!+I290+#REF!+#REF!+#REF!+#REF!+#REF!+#REF!+#REF!+#REF!+#REF!+I322+I325+#REF!+#REF!+I359+#REF!+#REF!+#REF!+#REF!+#REF!+#REF!+#REF!+#REF!+#REF!+#REF!+#REF!+#REF!+#REF!+#REF!+I397+#REF!+#REF!+I412-I290</f>
        <v>#REF!</v>
      </c>
      <c r="J430" s="206" t="e">
        <f>+#REF!+#REF!+J26+#REF!+J28+#REF!+J30+#REF!+#REF!+#REF!+J50+J52+#REF!+#REF!+#REF!+#REF!+#REF!+#REF!+#REF!+#REF!+#REF!+#REF!+J71+#REF!+#REF!+#REF!+#REF!+#REF!+#REF!+#REF!+#REF!+J156+#REF!+J195+J197+#REF!+J199+#REF!+J239+#REF!+J254+#REF!+#REF!+#REF!+J266+J282+#REF!+#REF!+J285+J287+#REF!+J290+#REF!+#REF!+#REF!+#REF!+#REF!+#REF!+#REF!+#REF!+#REF!+J322+J325+#REF!+#REF!+J359+#REF!+#REF!+#REF!+#REF!+#REF!+#REF!+#REF!+#REF!+#REF!+#REF!+#REF!+#REF!+#REF!+#REF!+J397+#REF!+#REF!+J412-J290</f>
        <v>#REF!</v>
      </c>
      <c r="K430" s="206" t="e">
        <f>+#REF!+#REF!+K26+#REF!+K28+#REF!+K30+#REF!+#REF!+#REF!+K50+K52+#REF!+#REF!+#REF!+#REF!+#REF!+#REF!+#REF!+#REF!+#REF!+#REF!+K71+#REF!+#REF!+#REF!+#REF!+#REF!+#REF!+#REF!+#REF!+K156+#REF!+K195+K197+#REF!+K199+#REF!+K239+#REF!+K254+#REF!+#REF!+#REF!+K266+K282+#REF!+#REF!+K285+K287+#REF!+K290+#REF!+#REF!+#REF!+#REF!+#REF!+#REF!+#REF!+#REF!+#REF!+K322+K325+#REF!+#REF!+K359+#REF!+#REF!+#REF!+#REF!+#REF!+#REF!+#REF!+#REF!+#REF!+#REF!+#REF!+#REF!+#REF!+#REF!+K397+#REF!+#REF!+K412-K290</f>
        <v>#REF!</v>
      </c>
      <c r="L430" s="206" t="e">
        <f>+#REF!+#REF!+L26+#REF!+L28+#REF!+L30+#REF!+#REF!+#REF!+L50+L52+#REF!+#REF!+#REF!+#REF!+#REF!+#REF!+#REF!+#REF!+#REF!+#REF!+L71+#REF!+#REF!+#REF!+#REF!+#REF!+#REF!+#REF!+#REF!+L156+#REF!+L195+L197+#REF!+L199+#REF!+L239+#REF!+L254+#REF!+#REF!+#REF!+L266+L282+#REF!+#REF!+L285+L287+#REF!+L290+#REF!+#REF!+#REF!+#REF!+#REF!+#REF!+#REF!+#REF!+#REF!+L322+L325+#REF!+#REF!+L359+#REF!+#REF!+#REF!+#REF!+#REF!+#REF!+#REF!+#REF!+#REF!+#REF!+#REF!+#REF!+#REF!+#REF!+L397+#REF!+#REF!+L412-L290</f>
        <v>#REF!</v>
      </c>
      <c r="M430" s="206" t="e">
        <f>+#REF!+#REF!+M26+#REF!+M28+#REF!+M30+#REF!+#REF!+#REF!+M50+M52+#REF!+#REF!+#REF!+#REF!+#REF!+#REF!+#REF!+#REF!+#REF!+#REF!+M71+#REF!+#REF!+#REF!+#REF!+#REF!+#REF!+#REF!+#REF!+M156+#REF!+M195+M197+#REF!+M199+#REF!+M239+#REF!+M254+#REF!+#REF!+#REF!+M266+M282+#REF!+#REF!+M285+M287+#REF!+M290+#REF!+#REF!+#REF!+#REF!+#REF!+#REF!+#REF!+#REF!+#REF!+M322+M325+#REF!+#REF!+M359+#REF!+#REF!+#REF!+#REF!+#REF!+#REF!+#REF!+#REF!+#REF!+#REF!+#REF!+#REF!+#REF!+#REF!+M397+#REF!+#REF!+M412-M290</f>
        <v>#REF!</v>
      </c>
      <c r="N430" s="206" t="e">
        <f>+#REF!+#REF!+N26+#REF!+N28+#REF!+N30+#REF!+#REF!+#REF!+N50+N52+#REF!+#REF!+#REF!+#REF!+#REF!+#REF!+#REF!+#REF!+#REF!+#REF!+N71+#REF!+#REF!+#REF!+#REF!+#REF!+#REF!+#REF!+#REF!+N156+#REF!+N195+N197+#REF!+N199+#REF!+N239+#REF!+N254+#REF!+#REF!+#REF!+N266+N282+#REF!+#REF!+N285+N287+#REF!+N290+#REF!+#REF!+#REF!+#REF!+#REF!+#REF!+#REF!+#REF!+#REF!+N322+N325+#REF!+#REF!+N359+#REF!+#REF!+#REF!+#REF!+#REF!+#REF!+#REF!+#REF!+#REF!+#REF!+#REF!+#REF!+#REF!+#REF!+N397+#REF!+#REF!+N412-N290</f>
        <v>#REF!</v>
      </c>
      <c r="O430" s="206" t="e">
        <f>+#REF!+#REF!+O26+#REF!+O28+#REF!+O30+#REF!+#REF!+#REF!+O50+O52+#REF!+#REF!+#REF!+#REF!+#REF!+#REF!+#REF!+#REF!+#REF!+#REF!+O71+#REF!+#REF!+#REF!+#REF!+#REF!+#REF!+#REF!+#REF!+O156+#REF!+O195+O197+#REF!+O199+#REF!+O239+#REF!+O254+#REF!+#REF!+#REF!+O266+O282+#REF!+#REF!+O285+O287+#REF!+O290+#REF!+#REF!+#REF!+#REF!+#REF!+#REF!+#REF!+#REF!+#REF!+O322+O325+#REF!+#REF!+O359+#REF!+#REF!+#REF!+#REF!+#REF!+#REF!+#REF!+#REF!+#REF!+#REF!+#REF!+#REF!+#REF!+#REF!+O397+#REF!+#REF!+O412-O290</f>
        <v>#REF!</v>
      </c>
      <c r="P430" s="206" t="e">
        <f>+#REF!+#REF!+P26+#REF!+P28+#REF!+P30+#REF!+#REF!+#REF!+P50+P52+#REF!+#REF!+#REF!+#REF!+#REF!+#REF!+#REF!+#REF!+#REF!+#REF!+P71+#REF!+#REF!+#REF!+#REF!+#REF!+#REF!+#REF!+#REF!+P156+#REF!+P195+P197+#REF!+P199+#REF!+P239+#REF!+P254+#REF!+#REF!+#REF!+P266+P282+#REF!+#REF!+P285+P287+#REF!+P290+#REF!+#REF!+#REF!+#REF!+#REF!+#REF!+#REF!+#REF!+#REF!+P322+P325+#REF!+#REF!+P359+#REF!+#REF!+#REF!+#REF!+#REF!+#REF!+#REF!+#REF!+#REF!+#REF!+#REF!+#REF!+#REF!+#REF!+P397+#REF!+#REF!+P412-P290</f>
        <v>#REF!</v>
      </c>
      <c r="Q430" s="206" t="e">
        <f>+#REF!+#REF!+Q26+#REF!+Q28+#REF!+Q30+#REF!+#REF!+#REF!+Q50+Q52+#REF!+#REF!+#REF!+#REF!+#REF!+#REF!+#REF!+#REF!+#REF!+#REF!+Q71+#REF!+#REF!+#REF!+#REF!+#REF!+#REF!+#REF!+#REF!+Q156+#REF!+Q195+Q197+#REF!+Q199+#REF!+Q239+#REF!+Q254+#REF!+#REF!+#REF!+Q266+Q282+#REF!+#REF!+Q285+Q287+#REF!+Q290+#REF!+#REF!+#REF!+#REF!+#REF!+#REF!+#REF!+#REF!+#REF!+Q322+Q325+#REF!+#REF!+Q359+#REF!+#REF!+#REF!+#REF!+#REF!+#REF!+#REF!+#REF!+#REF!+#REF!+#REF!+#REF!+#REF!+#REF!+Q397+#REF!+#REF!+Q412-Q290</f>
        <v>#REF!</v>
      </c>
      <c r="R430" s="206" t="e">
        <f>+#REF!+#REF!+R26+#REF!+R28+#REF!+R30+#REF!+#REF!+#REF!+R50+R52+#REF!+#REF!+#REF!+#REF!+#REF!+#REF!+#REF!+#REF!+#REF!+#REF!+R71+#REF!+#REF!+#REF!+#REF!+#REF!+#REF!+#REF!+#REF!+R156+#REF!+R195+R197+#REF!+R199+#REF!+R239+#REF!+R254+#REF!+#REF!+#REF!+R266+R282+#REF!+#REF!+R285+R287+#REF!+R290+#REF!+#REF!+#REF!+#REF!+#REF!+#REF!+#REF!+#REF!+#REF!+R322+R325+#REF!+#REF!+R359+#REF!+#REF!+#REF!+#REF!+#REF!+#REF!+#REF!+#REF!+#REF!+#REF!+#REF!+#REF!+#REF!+#REF!+R397+#REF!+#REF!+R412-R290</f>
        <v>#REF!</v>
      </c>
      <c r="S430" s="206" t="e">
        <f>+#REF!+#REF!+S26+#REF!+S28+#REF!+S30+#REF!+#REF!+#REF!+S50+S52+#REF!+#REF!+#REF!+#REF!+#REF!+#REF!+#REF!+#REF!+#REF!+#REF!+S71+#REF!+#REF!+#REF!+#REF!+#REF!+#REF!+#REF!+#REF!+S156+#REF!+S195+S197+#REF!+S199+#REF!+S239+#REF!+S254+#REF!+#REF!+#REF!+S266+S282+#REF!+#REF!+S285+S287+#REF!+S290+#REF!+#REF!+#REF!+#REF!+#REF!+#REF!+#REF!+#REF!+#REF!+S322+S325+#REF!+#REF!+S359+#REF!+#REF!+#REF!+#REF!+#REF!+#REF!+#REF!+#REF!+#REF!+#REF!+#REF!+#REF!+#REF!+#REF!+S397+#REF!+#REF!+S412-S290</f>
        <v>#REF!</v>
      </c>
      <c r="T430" s="206" t="e">
        <f>+#REF!+#REF!+T26+#REF!+T28+#REF!+T30+#REF!+#REF!+#REF!+T50+T52+#REF!+#REF!+#REF!+#REF!+#REF!+#REF!+#REF!+#REF!+#REF!+#REF!+T71+#REF!+#REF!+#REF!+#REF!+#REF!+#REF!+#REF!+#REF!+T156+#REF!+T195+T197+#REF!+T199+#REF!+T239+#REF!+T254+#REF!+#REF!+#REF!+T266+T282+#REF!+#REF!+T285+T287+#REF!+T290+#REF!+#REF!+#REF!+#REF!+#REF!+#REF!+#REF!+#REF!+#REF!+T322+T325+#REF!+#REF!+T359+#REF!+#REF!+#REF!+#REF!+#REF!+#REF!+#REF!+#REF!+#REF!+#REF!+#REF!+#REF!+#REF!+#REF!+T397+#REF!+#REF!+T412-T290</f>
        <v>#REF!</v>
      </c>
      <c r="U430" s="206" t="e">
        <f>+#REF!+#REF!+U26+#REF!+U28+#REF!+U30+#REF!+#REF!+#REF!+U50+U52+#REF!+#REF!+#REF!+#REF!+#REF!+#REF!+#REF!+#REF!+#REF!+#REF!+U71+#REF!+#REF!+#REF!+#REF!+#REF!+#REF!+#REF!+#REF!+U156+#REF!+U195+U197+#REF!+U199+#REF!+U239+#REF!+U254+#REF!+#REF!+#REF!+U266+U282+#REF!+#REF!+U285+U287+#REF!+U290+#REF!+#REF!+#REF!+#REF!+#REF!+#REF!+#REF!+#REF!+#REF!+U322+U325+#REF!+#REF!+U359+#REF!+#REF!+#REF!+#REF!+#REF!+#REF!+#REF!+#REF!+#REF!+#REF!+#REF!+#REF!+#REF!+#REF!+U397+#REF!+#REF!+U412-U290</f>
        <v>#REF!</v>
      </c>
      <c r="V430" s="39"/>
      <c r="W430" s="39"/>
      <c r="X430" s="22" t="e">
        <f>+BK430/D430*1000</f>
        <v>#REF!</v>
      </c>
      <c r="Y430" s="39"/>
      <c r="Z430" s="79" t="e">
        <f>+BO430/D430*1000</f>
        <v>#REF!</v>
      </c>
      <c r="AA430" s="39"/>
      <c r="AB430" s="79" t="e">
        <f>+BS430/D430*1000</f>
        <v>#REF!</v>
      </c>
      <c r="AC430" s="19"/>
      <c r="AD430" s="19"/>
      <c r="AE430" s="50"/>
      <c r="AF430" s="19"/>
      <c r="AG430" s="19"/>
      <c r="AH430" s="39"/>
      <c r="AI430" s="39"/>
      <c r="AJ430" s="39"/>
      <c r="AK430" s="39"/>
      <c r="AL430" s="22"/>
      <c r="AM430" s="39"/>
      <c r="AN430" s="39"/>
      <c r="AO430" s="39"/>
      <c r="AP430" s="39"/>
      <c r="AQ430" s="39"/>
      <c r="AR430" s="39"/>
      <c r="AS430" s="50"/>
      <c r="AT430" s="39"/>
      <c r="AU430" s="39"/>
      <c r="AV430" s="77"/>
      <c r="AW430" s="77"/>
      <c r="AX430" s="78"/>
      <c r="AY430" s="78"/>
      <c r="AZ430" s="78"/>
      <c r="BA430" s="78"/>
      <c r="BB430" s="78"/>
      <c r="BC430" s="39"/>
      <c r="BD430" s="39"/>
      <c r="BE430" s="22"/>
      <c r="BF430" s="39"/>
      <c r="BG430" s="39"/>
      <c r="BH430" s="22"/>
      <c r="BI430" s="22"/>
      <c r="BJ430" s="40"/>
      <c r="BK430" s="206" t="e">
        <f>+#REF!+#REF!+BK26+#REF!+BK28+#REF!+BK30+#REF!+#REF!+#REF!+BK50+BK52+#REF!+#REF!+#REF!+#REF!+#REF!+#REF!+#REF!+#REF!+#REF!+#REF!+BK71+#REF!+#REF!+#REF!+#REF!+#REF!+#REF!+#REF!+#REF!+BK156+#REF!+BK195+BK197+#REF!+BK199+#REF!+BK239+#REF!+BK254+#REF!+#REF!+#REF!+BK266+BK282+#REF!+#REF!+BK285+BK287+#REF!+BK290+#REF!+#REF!+#REF!+#REF!+#REF!+#REF!+#REF!+#REF!+#REF!+BK322+BK325+#REF!+#REF!+BK359+#REF!+#REF!+#REF!+#REF!+#REF!+#REF!+#REF!+#REF!+#REF!+#REF!+#REF!+#REF!+#REF!+#REF!+BK397+#REF!+#REF!+BK412-BK290</f>
        <v>#REF!</v>
      </c>
      <c r="BL430" s="206" t="e">
        <f>+#REF!+#REF!+BL26+#REF!+BL28+#REF!+BL30+#REF!+#REF!+#REF!+BL50+BL52+#REF!+#REF!+#REF!+#REF!+#REF!+#REF!+#REF!+#REF!+#REF!+#REF!+BL71+#REF!+#REF!+#REF!+#REF!+#REF!+#REF!+#REF!+#REF!+BL156+#REF!+BL195+BL197+#REF!+BL199+#REF!+BL239+#REF!+BL254+#REF!+#REF!+#REF!+BL266+BL282+#REF!+#REF!+BL285+BL287+#REF!+BL290+#REF!+#REF!+#REF!+#REF!+#REF!+#REF!+#REF!+#REF!+#REF!+BL322+BL325+#REF!+#REF!+BL359+#REF!+#REF!+#REF!+#REF!+#REF!+#REF!+#REF!+#REF!+#REF!+#REF!+#REF!+#REF!+#REF!+#REF!+BL397+#REF!+#REF!+BL412-BL290</f>
        <v>#REF!</v>
      </c>
      <c r="BM430" s="206" t="e">
        <f>+#REF!+#REF!+BM26+#REF!+BM28+#REF!+BM30+#REF!+#REF!+#REF!+BM50+BM52+#REF!+#REF!+#REF!+#REF!+#REF!+#REF!+#REF!+#REF!+#REF!+#REF!+BM71+#REF!+#REF!+#REF!+#REF!+#REF!+#REF!+#REF!+#REF!+BM156+#REF!+BM195+BM197+#REF!+BM199+#REF!+BM239+#REF!+BM254+#REF!+#REF!+#REF!+BM266+BM282+#REF!+#REF!+BM285+BM287+#REF!+BM290+#REF!+#REF!+#REF!+#REF!+#REF!+#REF!+#REF!+#REF!+#REF!+BM322+BM325+#REF!+#REF!+BM359+#REF!+#REF!+#REF!+#REF!+#REF!+#REF!+#REF!+#REF!+#REF!+#REF!+#REF!+#REF!+#REF!+#REF!+BM397+#REF!+#REF!+BM412-BM290</f>
        <v>#REF!</v>
      </c>
      <c r="BN430" s="206" t="e">
        <f>+#REF!+#REF!+BN26+#REF!+BN28+#REF!+BN30+#REF!+#REF!+#REF!+BN50+BN52+#REF!+#REF!+#REF!+#REF!+#REF!+#REF!+#REF!+#REF!+#REF!+#REF!+BN71+#REF!+#REF!+#REF!+#REF!+#REF!+#REF!+#REF!+#REF!+BN156+#REF!+BN195+BN197+#REF!+BN199+#REF!+BN239+#REF!+BN254+#REF!+#REF!+#REF!+BN266+BN282+#REF!+#REF!+BN285+BN287+#REF!+BN290+#REF!+#REF!+#REF!+#REF!+#REF!+#REF!+#REF!+#REF!+#REF!+BN322+BN325+#REF!+#REF!+BN359+#REF!+#REF!+#REF!+#REF!+#REF!+#REF!+#REF!+#REF!+#REF!+#REF!+#REF!+#REF!+#REF!+#REF!+BN397+#REF!+#REF!+BN412-BN290</f>
        <v>#REF!</v>
      </c>
      <c r="BO430" s="206" t="e">
        <f>+#REF!+#REF!+BO26+#REF!+BO28+#REF!+BO30+#REF!+#REF!+#REF!+BO50+BO52+#REF!+#REF!+#REF!+#REF!+#REF!+#REF!+#REF!+#REF!+#REF!+#REF!+BO71+#REF!+#REF!+#REF!+#REF!+#REF!+#REF!+#REF!+#REF!+BO156+#REF!+BO195+BO197+#REF!+BO199+#REF!+BO239+#REF!+BO254+#REF!+#REF!+#REF!+BO266+BO282+#REF!+#REF!+BO285+BO287+#REF!+BO290+#REF!+#REF!+#REF!+#REF!+#REF!+#REF!+#REF!+#REF!+#REF!+BO322+BO325+#REF!+#REF!+BO359+#REF!+#REF!+#REF!+#REF!+#REF!+#REF!+#REF!+#REF!+#REF!+#REF!+#REF!+#REF!+#REF!+#REF!+BO397+#REF!+#REF!+BO412-BO290</f>
        <v>#REF!</v>
      </c>
      <c r="BP430" s="206" t="e">
        <f>+#REF!+#REF!+BP26+#REF!+BP28+#REF!+BP30+#REF!+#REF!+#REF!+BP50+BP52+#REF!+#REF!+#REF!+#REF!+#REF!+#REF!+#REF!+#REF!+#REF!+#REF!+BP71+#REF!+#REF!+#REF!+#REF!+#REF!+#REF!+#REF!+#REF!+BP156+#REF!+BP195+BP197+#REF!+BP199+#REF!+BP239+#REF!+BP254+#REF!+#REF!+#REF!+BP266+BP282+#REF!+#REF!+BP285+BP287+#REF!+BP290+#REF!+#REF!+#REF!+#REF!+#REF!+#REF!+#REF!+#REF!+#REF!+BP322+BP325+#REF!+#REF!+BP359+#REF!+#REF!+#REF!+#REF!+#REF!+#REF!+#REF!+#REF!+#REF!+#REF!+#REF!+#REF!+#REF!+#REF!+BP397+#REF!+#REF!+BP412-BP290</f>
        <v>#REF!</v>
      </c>
      <c r="BQ430" s="206" t="e">
        <f>+#REF!+#REF!+BQ26+#REF!+BQ28+#REF!+BQ30+#REF!+#REF!+#REF!+BQ50+BQ52+#REF!+#REF!+#REF!+#REF!+#REF!+#REF!+#REF!+#REF!+#REF!+#REF!+BQ71+#REF!+#REF!+#REF!+#REF!+#REF!+#REF!+#REF!+#REF!+BQ156+#REF!+BQ195+BQ197+#REF!+BQ199+#REF!+BQ239+#REF!+BQ254+#REF!+#REF!+#REF!+BQ266+BQ282+#REF!+#REF!+BQ285+BQ287+#REF!+BQ290+#REF!+#REF!+#REF!+#REF!+#REF!+#REF!+#REF!+#REF!+#REF!+BQ322+BQ325+#REF!+#REF!+BQ359+#REF!+#REF!+#REF!+#REF!+#REF!+#REF!+#REF!+#REF!+#REF!+#REF!+#REF!+#REF!+#REF!+#REF!+BQ397+#REF!+#REF!+BQ412-BQ290</f>
        <v>#REF!</v>
      </c>
      <c r="BR430" s="206" t="e">
        <f>+#REF!+#REF!+BR26+#REF!+BR28+#REF!+BR30+#REF!+#REF!+#REF!+BR50+BR52+#REF!+#REF!+#REF!+#REF!+#REF!+#REF!+#REF!+#REF!+#REF!+#REF!+BR71+#REF!+#REF!+#REF!+#REF!+#REF!+#REF!+#REF!+#REF!+BR156+#REF!+BR195+BR197+#REF!+BR199+#REF!+BR239+#REF!+BR254+#REF!+#REF!+#REF!+BR266+BR282+#REF!+#REF!+BR285+BR287+#REF!+BR290+#REF!+#REF!+#REF!+#REF!+#REF!+#REF!+#REF!+#REF!+#REF!+BR322+BR325+#REF!+#REF!+BR359+#REF!+#REF!+#REF!+#REF!+#REF!+#REF!+#REF!+#REF!+#REF!+#REF!+#REF!+#REF!+#REF!+#REF!+BR397+#REF!+#REF!+BR412-BR290</f>
        <v>#REF!</v>
      </c>
      <c r="BS430" s="206" t="e">
        <f>+#REF!+#REF!+BS26+#REF!+BS28+#REF!+BS30+#REF!+#REF!+#REF!+BS50+BS52+#REF!+#REF!+#REF!+#REF!+#REF!+#REF!+#REF!+#REF!+#REF!+#REF!+BS71+#REF!+#REF!+#REF!+#REF!+#REF!+#REF!+#REF!+#REF!+BS156+#REF!+BS195+BS197+#REF!+BS199+#REF!+BS239+#REF!+BS254+#REF!+#REF!+#REF!+BS266+BS282+#REF!+#REF!+BS285+BS287+#REF!+BS290+#REF!+#REF!+#REF!+#REF!+#REF!+#REF!+#REF!+#REF!+#REF!+BS322+BS325+#REF!+#REF!+BS359+#REF!+#REF!+#REF!+#REF!+#REF!+#REF!+#REF!+#REF!+#REF!+#REF!+#REF!+#REF!+#REF!+#REF!+BS397+#REF!+#REF!+BS412-BS290</f>
        <v>#REF!</v>
      </c>
      <c r="BT430" s="206" t="e">
        <f>+#REF!+#REF!+BT26+#REF!+BT28+#REF!+BT30+#REF!+#REF!+#REF!+BT50+BT52+#REF!+#REF!+#REF!+#REF!+#REF!+#REF!+#REF!+#REF!+#REF!+#REF!+BT71+#REF!+#REF!+#REF!+#REF!+#REF!+#REF!+#REF!+#REF!+BT156+#REF!+BT195+BT197+#REF!+BT199+#REF!+BT239+#REF!+BT254+#REF!+#REF!+#REF!+BT266+BT282+#REF!+#REF!+BT285+BT287+#REF!+BT290+#REF!+#REF!+#REF!+#REF!+#REF!+#REF!+#REF!+#REF!+#REF!+BT322+BT325+#REF!+#REF!+BT359+#REF!+#REF!+#REF!+#REF!+#REF!+#REF!+#REF!+#REF!+#REF!+#REF!+#REF!+#REF!+#REF!+#REF!+BT397+#REF!+#REF!+BT412-BT290</f>
        <v>#REF!</v>
      </c>
      <c r="BU430" s="206" t="e">
        <f>+#REF!+#REF!+BU26+#REF!+BU28+#REF!+BU30+#REF!+#REF!+#REF!+BU50+BU52+#REF!+#REF!+#REF!+#REF!+#REF!+#REF!+#REF!+#REF!+#REF!+#REF!+BU71+#REF!+#REF!+#REF!+#REF!+#REF!+#REF!+#REF!+#REF!+BU156+#REF!+BU195+BU197+#REF!+BU199+#REF!+BU239+#REF!+BU254+#REF!+#REF!+#REF!+BU266+BU282+#REF!+#REF!+BU285+BU287+#REF!+BU290+#REF!+#REF!+#REF!+#REF!+#REF!+#REF!+#REF!+#REF!+#REF!+BU322+BU325+#REF!+#REF!+BU359+#REF!+#REF!+#REF!+#REF!+#REF!+#REF!+#REF!+#REF!+#REF!+#REF!+#REF!+#REF!+#REF!+#REF!+BU397+#REF!+#REF!+BU412-BU290</f>
        <v>#REF!</v>
      </c>
      <c r="BV430" s="206" t="e">
        <f>+#REF!+#REF!+BV26+#REF!+BV28+#REF!+BV30+#REF!+#REF!+#REF!+BV50+BV52+#REF!+#REF!+#REF!+#REF!+#REF!+#REF!+#REF!+#REF!+#REF!+#REF!+BV71+#REF!+#REF!+#REF!+#REF!+#REF!+#REF!+#REF!+#REF!+BV156+#REF!+BV195+BV197+#REF!+BV199+#REF!+BV239+#REF!+BV254+#REF!+#REF!+#REF!+BV266+BV282+#REF!+#REF!+BV285+BV287+#REF!+BV290+#REF!+#REF!+#REF!+#REF!+#REF!+#REF!+#REF!+#REF!+#REF!+BV322+BV325+#REF!+#REF!+BV359+#REF!+#REF!+#REF!+#REF!+#REF!+#REF!+#REF!+#REF!+#REF!+#REF!+#REF!+#REF!+#REF!+#REF!+BV397+#REF!+#REF!+BV412-BV290</f>
        <v>#REF!</v>
      </c>
      <c r="BW430" s="206" t="e">
        <f>+#REF!+#REF!+BW26+#REF!+BW28+#REF!+BW30+#REF!+#REF!+#REF!+BW50+BW52+#REF!+#REF!+#REF!+#REF!+#REF!+#REF!+#REF!+#REF!+#REF!+#REF!+BW71+#REF!+#REF!+#REF!+#REF!+#REF!+#REF!+#REF!+#REF!+BW156+#REF!+BW195+BW197+#REF!+BW199+#REF!+BW239+#REF!+BW254+#REF!+#REF!+#REF!+BW266+BW282+#REF!+#REF!+BW285+BW287+#REF!+BW290+#REF!+#REF!+#REF!+#REF!+#REF!+#REF!+#REF!+#REF!+#REF!+BW322+BW325+#REF!+#REF!+BW359+#REF!+#REF!+#REF!+#REF!+#REF!+#REF!+#REF!+#REF!+#REF!+#REF!+#REF!+#REF!+#REF!+#REF!+BW397+#REF!+#REF!+BW412-BW290</f>
        <v>#REF!</v>
      </c>
      <c r="BX430" s="206" t="e">
        <f>+#REF!+#REF!+BX26+#REF!+BX28+#REF!+BX30+#REF!+#REF!+#REF!+BX50+BX52+#REF!+#REF!+#REF!+#REF!+#REF!+#REF!+#REF!+#REF!+#REF!+#REF!+BX71+#REF!+#REF!+#REF!+#REF!+#REF!+#REF!+#REF!+#REF!+BX156+#REF!+BX195+BX197+#REF!+BX199+#REF!+BX239+#REF!+BX254+#REF!+#REF!+#REF!+BX266+BX282+#REF!+#REF!+BX285+BX287+#REF!+BX290+#REF!+#REF!+#REF!+#REF!+#REF!+#REF!+#REF!+#REF!+#REF!+BX322+BX325+#REF!+#REF!+BX359+#REF!+#REF!+#REF!+#REF!+#REF!+#REF!+#REF!+#REF!+#REF!+#REF!+#REF!+#REF!+#REF!+#REF!+BX397+#REF!+#REF!+BX412-BX290</f>
        <v>#REF!</v>
      </c>
      <c r="BY430" s="206" t="e">
        <f>+#REF!+#REF!+BY26+#REF!+BY28+#REF!+BY30+#REF!+#REF!+#REF!+BY50+BY52+#REF!+#REF!+#REF!+#REF!+#REF!+#REF!+#REF!+#REF!+#REF!+#REF!+BY71+#REF!+#REF!+#REF!+#REF!+#REF!+#REF!+#REF!+#REF!+BY156+#REF!+BY195+BY197+#REF!+BY199+#REF!+BY239+#REF!+BY254+#REF!+#REF!+#REF!+BY266+BY282+#REF!+#REF!+BY285+BY287+#REF!+BY290+#REF!+#REF!+#REF!+#REF!+#REF!+#REF!+#REF!+#REF!+#REF!+BY322+BY325+#REF!+#REF!+BY359+#REF!+#REF!+#REF!+#REF!+#REF!+#REF!+#REF!+#REF!+#REF!+#REF!+#REF!+#REF!+#REF!+#REF!+BY397+#REF!+#REF!+BY412-BY290</f>
        <v>#REF!</v>
      </c>
      <c r="BZ430" s="206" t="e">
        <f>+#REF!+#REF!+BZ26+#REF!+BZ28+#REF!+BZ30+#REF!+#REF!+#REF!+BZ50+BZ52+#REF!+#REF!+#REF!+#REF!+#REF!+#REF!+#REF!+#REF!+#REF!+#REF!+BZ71+#REF!+#REF!+#REF!+#REF!+#REF!+#REF!+#REF!+#REF!+BZ156+#REF!+BZ195+BZ197+#REF!+BZ199+#REF!+BZ239+#REF!+BZ254+#REF!+#REF!+#REF!+BZ266+BZ282+#REF!+#REF!+BZ285+BZ287+#REF!+BZ290+#REF!+#REF!+#REF!+#REF!+#REF!+#REF!+#REF!+#REF!+#REF!+BZ322+BZ325+#REF!+#REF!+BZ359+#REF!+#REF!+#REF!+#REF!+#REF!+#REF!+#REF!+#REF!+#REF!+#REF!+#REF!+#REF!+#REF!+#REF!+BZ397+#REF!+#REF!+BZ412-BZ290</f>
        <v>#REF!</v>
      </c>
      <c r="CA430" s="206" t="e">
        <f>+#REF!+#REF!+CA26+#REF!+CA28+#REF!+CA30+#REF!+#REF!+#REF!+CA50+CA52+#REF!+#REF!+#REF!+#REF!+#REF!+#REF!+#REF!+#REF!+#REF!+#REF!+CA71+#REF!+#REF!+#REF!+#REF!+#REF!+#REF!+#REF!+#REF!+CA156+#REF!+CA195+CA197+#REF!+CA199+#REF!+CA239+#REF!+CA254+#REF!+#REF!+#REF!+CA266+CA282+#REF!+#REF!+CA285+CA287+#REF!+CA290+#REF!+#REF!+#REF!+#REF!+#REF!+#REF!+#REF!+#REF!+#REF!+CA322+CA325+#REF!+#REF!+CA359+#REF!+#REF!+#REF!+#REF!+#REF!+#REF!+#REF!+#REF!+#REF!+#REF!+#REF!+#REF!+#REF!+#REF!+CA397+#REF!+#REF!+CA412-CA290</f>
        <v>#REF!</v>
      </c>
      <c r="CB430" s="206" t="e">
        <f>+#REF!+#REF!+CB26+#REF!+CB28+#REF!+CB30+#REF!+#REF!+#REF!+CB50+CB52+#REF!+#REF!+#REF!+#REF!+#REF!+#REF!+#REF!+#REF!+#REF!+#REF!+CB71+#REF!+#REF!+#REF!+#REF!+#REF!+#REF!+#REF!+#REF!+CB156+#REF!+CB195+CB197+#REF!+CB199+#REF!+CB239+#REF!+CB254+#REF!+#REF!+#REF!+CB266+CB282+#REF!+#REF!+CB285+CB287+#REF!+CB290+#REF!+#REF!+#REF!+#REF!+#REF!+#REF!+#REF!+#REF!+#REF!+CB322+CB325+#REF!+#REF!+CB359+#REF!+#REF!+#REF!+#REF!+#REF!+#REF!+#REF!+#REF!+#REF!+#REF!+#REF!+#REF!+#REF!+#REF!+CB397+#REF!+#REF!+CB412-CB290</f>
        <v>#REF!</v>
      </c>
      <c r="CC430" s="206" t="e">
        <f>+#REF!+#REF!+CC26+#REF!+CC28+#REF!+CC30+#REF!+#REF!+#REF!+CC50+CC52+#REF!+#REF!+#REF!+#REF!+#REF!+#REF!+#REF!+#REF!+#REF!+#REF!+CC71+#REF!+#REF!+#REF!+#REF!+#REF!+#REF!+#REF!+#REF!+CC156+#REF!+CC195+CC197+#REF!+CC199+#REF!+CC239+#REF!+CC254+#REF!+#REF!+#REF!+CC266+CC282+#REF!+#REF!+CC285+CC287+#REF!+CC290+#REF!+#REF!+#REF!+#REF!+#REF!+#REF!+#REF!+#REF!+#REF!+CC322+CC325+#REF!+#REF!+CC359+#REF!+#REF!+#REF!+#REF!+#REF!+#REF!+#REF!+#REF!+#REF!+#REF!+#REF!+#REF!+#REF!+#REF!+CC397+#REF!+#REF!+CC412-CC290</f>
        <v>#REF!</v>
      </c>
      <c r="CD430" s="206" t="e">
        <f>+#REF!+#REF!+CD26+#REF!+CD28+#REF!+CD30+#REF!+#REF!+#REF!+CD50+CD52+#REF!+#REF!+#REF!+#REF!+#REF!+#REF!+#REF!+#REF!+#REF!+#REF!+CD71+#REF!+#REF!+#REF!+#REF!+#REF!+#REF!+#REF!+#REF!+CD156+#REF!+CD195+CD197+#REF!+CD199+#REF!+CD239+#REF!+CD254+#REF!+#REF!+#REF!+CD266+CD282+#REF!+#REF!+CD285+CD287+#REF!+CD290+#REF!+#REF!+#REF!+#REF!+#REF!+#REF!+#REF!+#REF!+#REF!+CD322+CD325+#REF!+#REF!+CD359+#REF!+#REF!+#REF!+#REF!+#REF!+#REF!+#REF!+#REF!+#REF!+#REF!+#REF!+#REF!+#REF!+#REF!+CD397+#REF!+#REF!+CD412-CD290</f>
        <v>#REF!</v>
      </c>
      <c r="CE430" s="48" t="e">
        <f t="shared" si="1673"/>
        <v>#REF!</v>
      </c>
      <c r="CF430" s="48" t="e">
        <f t="shared" si="1612"/>
        <v>#REF!</v>
      </c>
      <c r="CG430" s="48" t="e">
        <f t="shared" si="1613"/>
        <v>#REF!</v>
      </c>
      <c r="CH430" s="48" t="e">
        <f t="shared" si="1614"/>
        <v>#REF!</v>
      </c>
      <c r="CI430" s="48" t="e">
        <f t="shared" si="1615"/>
        <v>#REF!</v>
      </c>
      <c r="CJ430" s="48" t="e">
        <f t="shared" si="1616"/>
        <v>#REF!</v>
      </c>
      <c r="CK430" s="48" t="e">
        <f t="shared" si="1617"/>
        <v>#REF!</v>
      </c>
      <c r="CL430" s="48" t="e">
        <f t="shared" si="1644"/>
        <v>#REF!</v>
      </c>
      <c r="CM430" s="48" t="e">
        <f t="shared" si="1645"/>
        <v>#REF!</v>
      </c>
      <c r="CN430" s="48" t="e">
        <f t="shared" ref="CN430:CN438" si="1677">+IF((D430+D430+D430)=0,,(BK430+BO430+BS430)/(D430+D430+D430))*1000</f>
        <v>#REF!</v>
      </c>
      <c r="CO430" s="48" t="e">
        <f t="shared" si="1618"/>
        <v>#REF!</v>
      </c>
      <c r="CP430" s="48" t="e">
        <f t="shared" ref="CP430:CP438" si="1678">+IF(R430=0,,CD430/R430*1000)</f>
        <v>#REF!</v>
      </c>
      <c r="CQ430" s="48" t="e">
        <f t="shared" ref="CQ430:CQ438" si="1679">+IF(N430=0,,BX430/N430*1.18*1000)</f>
        <v>#REF!</v>
      </c>
      <c r="CR430" s="48" t="e">
        <f t="shared" si="1620"/>
        <v>#REF!</v>
      </c>
      <c r="CS430" s="48" t="e">
        <f t="shared" ref="CS430:CS438" si="1680">+IF(M430=0,,BW430/M430*1000)</f>
        <v>#REF!</v>
      </c>
      <c r="CT430" s="48" t="e">
        <f t="shared" ref="CT430:CT437" si="1681">+IF(M430=0,,CA430/M430*1000)</f>
        <v>#REF!</v>
      </c>
      <c r="CU430" s="48" t="e">
        <f t="shared" ref="CU430:CU438" si="1682">+IF((M430+M430)=0,,(CA430+BW430)/(M430+M430))*1000</f>
        <v>#REF!</v>
      </c>
      <c r="CV430" s="48" t="e">
        <f>+IF(CN430=0,,CU430/CN430*100)</f>
        <v>#REF!</v>
      </c>
      <c r="CW430" s="206" t="e">
        <f>+#REF!+#REF!+CW26+#REF!+CW28+#REF!+CW30+#REF!+#REF!+#REF!+CW50+CW52+#REF!+#REF!+#REF!+#REF!+#REF!+#REF!+#REF!+#REF!+#REF!+#REF!+CW71+#REF!+#REF!+#REF!+#REF!+#REF!+#REF!+#REF!+#REF!+CW156+#REF!+CW195+CW197+#REF!+CW199+#REF!+CW239+#REF!+CW254+#REF!+#REF!+#REF!+CW266+CW282+#REF!+#REF!+CW285+CW287+#REF!+CW290+#REF!+#REF!+#REF!+#REF!+#REF!+#REF!+#REF!+#REF!+#REF!+CW322+CW325+#REF!+#REF!+CW359+#REF!+#REF!+#REF!+#REF!+#REF!+#REF!+#REF!+#REF!+#REF!+#REF!+#REF!+#REF!+#REF!+#REF!+CW397+#REF!+#REF!+CW412-CW290</f>
        <v>#REF!</v>
      </c>
      <c r="CX430" s="206" t="e">
        <f>+#REF!+#REF!+CX26+#REF!+CX28+#REF!+CX30+#REF!+#REF!+#REF!+CX50+CX52+#REF!+#REF!+#REF!+#REF!+#REF!+#REF!+#REF!+#REF!+#REF!+#REF!+CX71+#REF!+#REF!+#REF!+#REF!+#REF!+#REF!+#REF!+#REF!+CX156+#REF!+CX195+CX197+#REF!+CX199+#REF!+CX239+#REF!+CX254+#REF!+#REF!+#REF!+CX266+CX282+#REF!+#REF!+CX285+CX287+#REF!+CX290+#REF!+#REF!+#REF!+#REF!+#REF!+#REF!+#REF!+#REF!+#REF!+CX322+CX325+#REF!+#REF!+CX359+#REF!+#REF!+#REF!+#REF!+#REF!+#REF!+#REF!+#REF!+#REF!+#REF!+#REF!+#REF!+#REF!+#REF!+CX397+#REF!+#REF!+CX412-CX290</f>
        <v>#REF!</v>
      </c>
      <c r="CY430" s="206" t="e">
        <f>+#REF!+#REF!+CY26+#REF!+CY28+#REF!+CY30+#REF!+#REF!+#REF!+CY50+CY52+#REF!+#REF!+#REF!+#REF!+#REF!+#REF!+#REF!+#REF!+#REF!+#REF!+CY71+#REF!+#REF!+#REF!+#REF!+#REF!+#REF!+#REF!+#REF!+CY156+#REF!+CY195+CY197+#REF!+CY199+#REF!+CY239+#REF!+CY254+#REF!+#REF!+#REF!+CY266+CY282+#REF!+#REF!+CY285+CY287+#REF!+CY290+#REF!+#REF!+#REF!+#REF!+#REF!+#REF!+#REF!+#REF!+#REF!+CY322+CY325+#REF!+#REF!+CY359+#REF!+#REF!+#REF!+#REF!+#REF!+#REF!+#REF!+#REF!+#REF!+#REF!+#REF!+#REF!+#REF!+#REF!+CY397+#REF!+#REF!+CY412-CY290</f>
        <v>#REF!</v>
      </c>
      <c r="CZ430" s="206" t="e">
        <f>+#REF!+#REF!+CZ26+#REF!+CZ28+#REF!+CZ30+#REF!+#REF!+#REF!+CZ50+CZ52+#REF!+#REF!+#REF!+#REF!+#REF!+#REF!+#REF!+#REF!+#REF!+#REF!+CZ71+#REF!+#REF!+#REF!+#REF!+#REF!+#REF!+#REF!+#REF!+CZ156+#REF!+CZ195+CZ197+#REF!+CZ199+#REF!+CZ239+#REF!+CZ254+#REF!+#REF!+#REF!+CZ266+CZ282+#REF!+#REF!+CZ285+CZ287+#REF!+CZ290+#REF!+#REF!+#REF!+#REF!+#REF!+#REF!+#REF!+#REF!+#REF!+CZ322+CZ325+#REF!+#REF!+CZ359+#REF!+#REF!+#REF!+#REF!+#REF!+#REF!+#REF!+#REF!+#REF!+#REF!+#REF!+#REF!+#REF!+#REF!+CZ397+#REF!+#REF!+CZ412-CZ290</f>
        <v>#REF!</v>
      </c>
      <c r="DA430" s="20" t="e">
        <f t="shared" ref="DA430:DA438" si="1683">+IF(CX430=0,,CW430/CX430*100)</f>
        <v>#REF!</v>
      </c>
      <c r="DB430" s="20" t="e">
        <f t="shared" si="1649"/>
        <v>#REF!</v>
      </c>
      <c r="DC430" s="51" t="e">
        <f t="shared" si="1650"/>
        <v>#REF!</v>
      </c>
      <c r="DD430" s="51" t="e">
        <f t="shared" si="1650"/>
        <v>#REF!</v>
      </c>
      <c r="DE430" s="206" t="e">
        <f>+#REF!+#REF!+DE26+#REF!+DE28+#REF!+DE30+#REF!+#REF!+#REF!+DE50+DE52+#REF!+#REF!+#REF!+#REF!+#REF!+#REF!+#REF!+#REF!+#REF!+#REF!+DE71+#REF!+#REF!+#REF!+#REF!+#REF!+#REF!+#REF!+#REF!+DE156+#REF!+DE195+DE197+#REF!+DE199+#REF!+DE239+#REF!+DE254+#REF!+#REF!+#REF!+DE266+DE282+#REF!+#REF!+DE285+DE287+#REF!+DE290+#REF!+#REF!+#REF!+#REF!+#REF!+#REF!+#REF!+#REF!+#REF!+DE322+DE325+#REF!+#REF!+DE359+#REF!+#REF!+#REF!+#REF!+#REF!+#REF!+#REF!+#REF!+#REF!+#REF!+#REF!+#REF!+#REF!+#REF!+DE397+#REF!+#REF!+DE412-DE290</f>
        <v>#REF!</v>
      </c>
      <c r="DF430" s="206" t="e">
        <f>+#REF!+#REF!+DF26+#REF!+DF28+#REF!+DF30+#REF!+#REF!+#REF!+DF50+DF52+#REF!+#REF!+#REF!+#REF!+#REF!+#REF!+#REF!+#REF!+#REF!+#REF!+DF71+#REF!+#REF!+#REF!+#REF!+#REF!+#REF!+#REF!+#REF!+DF156+#REF!+DF195+DF197+#REF!+DF199+#REF!+DF239+#REF!+DF254+#REF!+#REF!+#REF!+DF266+DF282+#REF!+#REF!+DF285+DF287+#REF!+DF290+#REF!+#REF!+#REF!+#REF!+#REF!+#REF!+#REF!+#REF!+#REF!+DF322+DF325+#REF!+#REF!+DF359+#REF!+#REF!+#REF!+#REF!+#REF!+#REF!+#REF!+#REF!+#REF!+#REF!+#REF!+#REF!+#REF!+#REF!+DF397+#REF!+#REF!+DF412-DF290</f>
        <v>#REF!</v>
      </c>
      <c r="DG430" s="206" t="e">
        <f>+#REF!+#REF!+DG26+#REF!+DG28+#REF!+DG30+#REF!+#REF!+#REF!+DG50+DG52+#REF!+#REF!+#REF!+#REF!+#REF!+#REF!+#REF!+#REF!+#REF!+#REF!+DG71+#REF!+#REF!+#REF!+#REF!+#REF!+#REF!+#REF!+#REF!+DG156+#REF!+DG195+DG197+#REF!+DG199+#REF!+DG239+#REF!+DG254+#REF!+#REF!+#REF!+DG266+DG282+#REF!+#REF!+DG285+DG287+#REF!+DG290+#REF!+#REF!+#REF!+#REF!+#REF!+#REF!+#REF!+#REF!+#REF!+DG322+DG325+#REF!+#REF!+DG359+#REF!+#REF!+#REF!+#REF!+#REF!+#REF!+#REF!+#REF!+#REF!+#REF!+#REF!+#REF!+#REF!+#REF!+DG397+#REF!+#REF!+DG412-DG290</f>
        <v>#REF!</v>
      </c>
      <c r="DH430" s="206" t="e">
        <f>+#REF!+#REF!+DH26+#REF!+DH28+#REF!+DH30+#REF!+#REF!+#REF!+DH50+DH52+#REF!+#REF!+#REF!+#REF!+#REF!+#REF!+#REF!+#REF!+#REF!+#REF!+DH71+#REF!+#REF!+#REF!+#REF!+#REF!+#REF!+#REF!+#REF!+DH156+#REF!+DH195+DH197+#REF!+DH199+#REF!+DH239+#REF!+DH254+#REF!+#REF!+#REF!+DH266+DH282+#REF!+#REF!+DH285+DH287+#REF!+DH290+#REF!+#REF!+#REF!+#REF!+#REF!+#REF!+#REF!+#REF!+#REF!+DH322+DH325+#REF!+#REF!+DH359+#REF!+#REF!+#REF!+#REF!+#REF!+#REF!+#REF!+#REF!+#REF!+#REF!+#REF!+#REF!+#REF!+#REF!+DH397+#REF!+#REF!+DH412-DH290</f>
        <v>#REF!</v>
      </c>
      <c r="DI430" s="39"/>
      <c r="DJ430" s="206" t="e">
        <f>+#REF!+#REF!+DJ26+#REF!+DJ28+#REF!+DJ30+#REF!+#REF!+#REF!+DJ50+DJ52+#REF!+#REF!+#REF!+#REF!+#REF!+#REF!+#REF!+#REF!+#REF!+#REF!+DJ71+#REF!+#REF!+#REF!+#REF!+#REF!+#REF!+#REF!+#REF!+DJ156+#REF!+DJ195+DJ197+#REF!+DJ199+#REF!+DJ239+#REF!+DJ254+#REF!+#REF!+#REF!+DJ266+DJ282+#REF!+#REF!+DJ285+DJ287+#REF!+DJ290+#REF!+#REF!+#REF!+#REF!+#REF!+#REF!+#REF!+#REF!+#REF!+DJ322+DJ325+#REF!+#REF!+DJ359+#REF!+#REF!+#REF!+#REF!+#REF!+#REF!+#REF!+#REF!+#REF!+#REF!+#REF!+#REF!+#REF!+#REF!+DJ397+#REF!+#REF!+DJ412-DJ290</f>
        <v>#REF!</v>
      </c>
      <c r="DK430" s="206" t="e">
        <f>+#REF!+#REF!+DK26+#REF!+DK28+#REF!+DK30+#REF!+#REF!+#REF!+DK50+DK52+#REF!+#REF!+#REF!+#REF!+#REF!+#REF!+#REF!+#REF!+#REF!+#REF!+DK71+#REF!+#REF!+#REF!+#REF!+#REF!+#REF!+#REF!+#REF!+DK156+#REF!+DK195+DK197+#REF!+DK199+#REF!+DK239+#REF!+DK254+#REF!+#REF!+#REF!+DK266+DK282+#REF!+#REF!+DK285+DK287+#REF!+DK290+#REF!+#REF!+#REF!+#REF!+#REF!+#REF!+#REF!+#REF!+#REF!+DK322+DK325+#REF!+#REF!+DK359+#REF!+#REF!+#REF!+#REF!+#REF!+#REF!+#REF!+#REF!+#REF!+#REF!+#REF!+#REF!+#REF!+#REF!+DK397+#REF!+#REF!+DK412-DK290</f>
        <v>#REF!</v>
      </c>
      <c r="DL430" s="206" t="e">
        <f>+#REF!+#REF!+DL26+#REF!+DL28+#REF!+DL30+#REF!+#REF!+#REF!+DL50+DL52+#REF!+#REF!+#REF!+#REF!+#REF!+#REF!+#REF!+#REF!+#REF!+#REF!+DL71+#REF!+#REF!+#REF!+#REF!+#REF!+#REF!+#REF!+#REF!+DL156+#REF!+DL195+DL197+#REF!+DL199+#REF!+DL239+#REF!+DL254+#REF!+#REF!+#REF!+DL266+DL282+#REF!+#REF!+DL285+DL287+#REF!+DL290+#REF!+#REF!+#REF!+#REF!+#REF!+#REF!+#REF!+#REF!+#REF!+DL322+DL325+#REF!+#REF!+DL359+#REF!+#REF!+#REF!+#REF!+#REF!+#REF!+#REF!+#REF!+#REF!+#REF!+#REF!+#REF!+#REF!+#REF!+DL397+#REF!+#REF!+DL412-DL290</f>
        <v>#REF!</v>
      </c>
      <c r="DM430" s="48">
        <f>+AT430-'[2]тарифы (12-13) население 15%'!AP540</f>
        <v>0</v>
      </c>
      <c r="DN430" s="39"/>
      <c r="DO430" s="39"/>
      <c r="DP430" s="39"/>
      <c r="DQ430" s="39"/>
      <c r="DR430" s="39"/>
      <c r="DS430" s="39"/>
      <c r="DT430" s="39"/>
      <c r="DU430" s="39"/>
      <c r="DV430" s="48" t="e">
        <f>+DV412+DV415+DV416+DV417</f>
        <v>#REF!</v>
      </c>
      <c r="DW430" s="48" t="e">
        <f>+DW412+DW415+DW416+DW417</f>
        <v>#REF!</v>
      </c>
      <c r="DX430" s="21">
        <f>+'[1]тарифы (НВВ) население на 4,2%'!CO560</f>
        <v>77.222098075986935</v>
      </c>
      <c r="DY430" s="20" t="e">
        <f t="shared" si="1671"/>
        <v>#REF!</v>
      </c>
      <c r="DZ430" s="46"/>
      <c r="EA430" s="46"/>
      <c r="EB430" s="46"/>
      <c r="EC430" s="39"/>
      <c r="ED430" s="39"/>
      <c r="EE430" s="39"/>
      <c r="EF430" s="39"/>
      <c r="EG430" s="39"/>
      <c r="EH430" s="39"/>
      <c r="EI430" s="39"/>
      <c r="EJ430" s="22">
        <f t="shared" si="1662"/>
        <v>0</v>
      </c>
      <c r="EK430" s="39"/>
      <c r="EL430" s="19" t="e">
        <f t="shared" ref="EL430:EO437" si="1684">+EL418</f>
        <v>#REF!</v>
      </c>
      <c r="EM430" s="19" t="e">
        <f t="shared" si="1684"/>
        <v>#REF!</v>
      </c>
      <c r="EN430" s="21" t="e">
        <f t="shared" si="1684"/>
        <v>#REF!</v>
      </c>
      <c r="EO430" s="21" t="e">
        <f t="shared" si="1684"/>
        <v>#REF!</v>
      </c>
      <c r="EP430" s="21"/>
      <c r="EQ430" s="21" t="e">
        <f t="shared" si="1623"/>
        <v>#REF!</v>
      </c>
      <c r="ER430" s="21"/>
      <c r="ES430" s="21"/>
      <c r="ET430" s="21"/>
      <c r="EU430" s="21"/>
      <c r="EV430" s="21"/>
      <c r="EW430" s="39"/>
      <c r="EX430" s="39"/>
      <c r="EY430" s="39"/>
      <c r="EZ430" s="39"/>
      <c r="FA430" s="39"/>
      <c r="FB430" s="39"/>
      <c r="FC430" s="39"/>
      <c r="FD430" s="39"/>
      <c r="FE430" s="39"/>
      <c r="FF430" s="39"/>
      <c r="FG430" s="39"/>
      <c r="FH430" s="39"/>
      <c r="FI430" s="39"/>
      <c r="FJ430" s="46"/>
      <c r="FK430" s="46"/>
      <c r="FL430" s="46"/>
      <c r="FM430" s="46"/>
      <c r="FN430" s="46"/>
      <c r="FO430" s="39">
        <f t="shared" si="1624"/>
        <v>0</v>
      </c>
      <c r="FP430" s="39"/>
      <c r="FQ430" s="39"/>
      <c r="FR430" s="39">
        <f t="shared" si="1625"/>
        <v>0</v>
      </c>
      <c r="FS430" s="39"/>
      <c r="FT430" s="22"/>
      <c r="FU430" s="22"/>
      <c r="FV430" s="19" t="e">
        <f t="shared" ref="FV430:FV443" si="1685">+(EF430-EI430/1.18)*EM430</f>
        <v>#REF!</v>
      </c>
      <c r="FW430" s="19" t="e">
        <f t="shared" ref="FW430:FW443" si="1686">+(EF430-EI430/1.18*1.096)*EM430</f>
        <v>#REF!</v>
      </c>
      <c r="FX430" s="39"/>
      <c r="FY430" s="19" t="e">
        <f t="shared" si="1630"/>
        <v>#REF!</v>
      </c>
      <c r="FZ430" s="39"/>
      <c r="GA430" s="39"/>
      <c r="GB430" s="39"/>
      <c r="GC430" s="20">
        <f t="shared" ref="GC430:GC443" si="1687">+IF(FZ430=0,,FY430/FZ430*100)</f>
        <v>0</v>
      </c>
      <c r="GD430" s="21">
        <f t="shared" si="1669"/>
        <v>0</v>
      </c>
      <c r="GE430" s="21"/>
      <c r="GF430" s="21"/>
      <c r="GG430" s="21"/>
      <c r="GH430" s="21"/>
      <c r="GI430" s="21"/>
      <c r="GJ430" s="21"/>
      <c r="GK430" s="21"/>
      <c r="GL430" s="21"/>
      <c r="GM430" s="46"/>
      <c r="GN430" s="46"/>
      <c r="GO430" s="166" t="e">
        <f>+GH420+GH423</f>
        <v>#REF!</v>
      </c>
      <c r="GP430" s="166" t="e">
        <f>+GL420+GL423</f>
        <v>#REF!</v>
      </c>
      <c r="GQ430" s="39" t="e">
        <f>+GP430/GO430</f>
        <v>#REF!</v>
      </c>
      <c r="GR430" s="39">
        <f t="shared" ref="GR430:GR443" si="1688">+EX430</f>
        <v>0</v>
      </c>
      <c r="GS430" s="39"/>
      <c r="GT430" s="22"/>
      <c r="GU430" s="169"/>
      <c r="GV430" s="19"/>
      <c r="GW430" s="19"/>
      <c r="GX430" s="19"/>
      <c r="GY430" s="19"/>
      <c r="GZ430" s="19"/>
      <c r="HA430" s="39">
        <f t="shared" ref="HA430:HA443" si="1689">+FA430</f>
        <v>0</v>
      </c>
      <c r="HB430" s="39"/>
      <c r="HC430" s="39"/>
      <c r="HD430" s="39">
        <f t="shared" ref="HD430:HD443" si="1690">+FD430</f>
        <v>0</v>
      </c>
      <c r="HE430" s="39"/>
      <c r="HF430" s="207"/>
      <c r="HG430" s="169"/>
    </row>
    <row r="431" spans="1:215" s="14" customFormat="1" ht="16.149999999999999" hidden="1" customHeight="1" thickBot="1">
      <c r="A431" s="1"/>
      <c r="B431" s="10"/>
      <c r="C431" s="199" t="s">
        <v>148</v>
      </c>
      <c r="D431" s="200" t="e">
        <f>+#REF!+D53+#REF!+#REF!+D267+D283+D288+#REF!+#REF!+#REF!+#REF!+#REF!+#REF!+#REF!+#REF!+#REF!+#REF!+D419</f>
        <v>#REF!</v>
      </c>
      <c r="E431" s="200" t="e">
        <f>+#REF!+E53+#REF!+#REF!+E267+E283+E288+#REF!+#REF!+#REF!+#REF!+#REF!+#REF!+#REF!+#REF!+#REF!+#REF!+E419</f>
        <v>#REF!</v>
      </c>
      <c r="F431" s="200" t="e">
        <f>+#REF!+F53+#REF!+#REF!+F267+F283+F288+#REF!+#REF!+#REF!+#REF!+#REF!+#REF!+#REF!+#REF!+#REF!+#REF!+F419</f>
        <v>#REF!</v>
      </c>
      <c r="G431" s="200" t="e">
        <f>+#REF!+G53+#REF!+#REF!+G267+G283+G288+#REF!+#REF!+#REF!+#REF!+#REF!+#REF!+#REF!+#REF!+#REF!+#REF!+G419</f>
        <v>#REF!</v>
      </c>
      <c r="H431" s="200" t="e">
        <f>+#REF!+H53+#REF!+#REF!+H267+H283+H288+#REF!+#REF!+#REF!+#REF!+#REF!+#REF!+#REF!+#REF!+#REF!+#REF!+H419</f>
        <v>#REF!</v>
      </c>
      <c r="I431" s="200" t="e">
        <f>+#REF!+I53+#REF!+#REF!+I267+I283+I288+#REF!+#REF!+#REF!+#REF!+#REF!+#REF!+#REF!+#REF!+#REF!+#REF!+I419</f>
        <v>#REF!</v>
      </c>
      <c r="J431" s="200" t="e">
        <f>+#REF!+J53+#REF!+#REF!+J267+J283+J288+#REF!+#REF!+#REF!+#REF!+#REF!+#REF!+#REF!+#REF!+#REF!+#REF!+J419</f>
        <v>#REF!</v>
      </c>
      <c r="K431" s="200" t="e">
        <f>+#REF!+K53+#REF!+#REF!+K267+K283+K288+#REF!+#REF!+#REF!+#REF!+#REF!+#REF!+#REF!+#REF!+#REF!+#REF!+K419</f>
        <v>#REF!</v>
      </c>
      <c r="L431" s="200" t="e">
        <f>+#REF!+L53+#REF!+#REF!+L267+L283+L288+#REF!+#REF!+#REF!+#REF!+#REF!+#REF!+#REF!+#REF!+#REF!+#REF!+L419</f>
        <v>#REF!</v>
      </c>
      <c r="M431" s="200" t="e">
        <f>+#REF!+M53+#REF!+#REF!+M267+M283+M288+#REF!+#REF!+#REF!+#REF!+#REF!+#REF!+#REF!+#REF!+#REF!+#REF!+M419</f>
        <v>#REF!</v>
      </c>
      <c r="N431" s="200" t="e">
        <f>+#REF!+N53+#REF!+#REF!+N267+N283+N288+#REF!+#REF!+#REF!+#REF!+#REF!+#REF!+#REF!+#REF!+#REF!+#REF!+N419</f>
        <v>#REF!</v>
      </c>
      <c r="O431" s="200" t="e">
        <f>+#REF!+O53+#REF!+#REF!+O267+O283+O288+#REF!+#REF!+#REF!+#REF!+#REF!+#REF!+#REF!+#REF!+#REF!+#REF!+O419</f>
        <v>#REF!</v>
      </c>
      <c r="P431" s="200" t="e">
        <f>+#REF!+P53+#REF!+#REF!+P267+P283+P288+#REF!+#REF!+#REF!+#REF!+#REF!+#REF!+#REF!+#REF!+#REF!+#REF!+P419</f>
        <v>#REF!</v>
      </c>
      <c r="Q431" s="200" t="e">
        <f>+#REF!+Q53+#REF!+#REF!+Q267+Q283+Q288+#REF!+#REF!+#REF!+#REF!+#REF!+#REF!+#REF!+#REF!+#REF!+#REF!+Q419</f>
        <v>#REF!</v>
      </c>
      <c r="R431" s="200" t="e">
        <f>+#REF!+R53+#REF!+#REF!+R267+R283+R288+#REF!+#REF!+#REF!+#REF!+#REF!+#REF!+#REF!+#REF!+#REF!+#REF!+R419</f>
        <v>#REF!</v>
      </c>
      <c r="S431" s="200" t="e">
        <f>+#REF!+S53+#REF!+#REF!+S267+S283+S288+#REF!+#REF!+#REF!+#REF!+#REF!+#REF!+#REF!+#REF!+#REF!+#REF!+S419</f>
        <v>#REF!</v>
      </c>
      <c r="T431" s="200" t="e">
        <f>+#REF!+T53+#REF!+#REF!+T267+T283+T288+#REF!+#REF!+#REF!+#REF!+#REF!+#REF!+#REF!+#REF!+#REF!+#REF!+T419</f>
        <v>#REF!</v>
      </c>
      <c r="U431" s="200" t="e">
        <f>+#REF!+U53+#REF!+#REF!+U267+U283+U288+#REF!+#REF!+#REF!+#REF!+#REF!+#REF!+#REF!+#REF!+#REF!+#REF!+U419</f>
        <v>#REF!</v>
      </c>
      <c r="V431" s="200" t="e">
        <f>+#REF!+V53+#REF!+#REF!+V267+V283+V288+#REF!+#REF!+#REF!+#REF!+#REF!+#REF!+#REF!+#REF!+#REF!+#REF!+V419</f>
        <v>#REF!</v>
      </c>
      <c r="W431" s="200" t="e">
        <f>+#REF!+W53+#REF!+#REF!+W267+W283+W288+#REF!+#REF!+#REF!+#REF!+#REF!+#REF!+#REF!+#REF!+#REF!+#REF!+W419</f>
        <v>#REF!</v>
      </c>
      <c r="X431" s="200" t="e">
        <f>+#REF!+X53+#REF!+#REF!+X267+X283+X288+#REF!+#REF!+#REF!+#REF!+#REF!+#REF!+#REF!+#REF!+#REF!+#REF!+X419</f>
        <v>#REF!</v>
      </c>
      <c r="Y431" s="200" t="e">
        <f>+#REF!+Y53+#REF!+#REF!+Y267+Y283+Y288+#REF!+#REF!+#REF!+#REF!+#REF!+#REF!+#REF!+#REF!+#REF!+#REF!+Y419</f>
        <v>#REF!</v>
      </c>
      <c r="Z431" s="200" t="e">
        <f>+#REF!+Z53+#REF!+#REF!+Z267+Z283+Z288+#REF!+#REF!+#REF!+#REF!+#REF!+#REF!+#REF!+#REF!+#REF!+#REF!+Z419</f>
        <v>#REF!</v>
      </c>
      <c r="AA431" s="200" t="e">
        <f>+#REF!+AA53+#REF!+#REF!+AA267+AA283+AA288+#REF!+#REF!+#REF!+#REF!+#REF!+#REF!+#REF!+#REF!+#REF!+#REF!+AA419</f>
        <v>#REF!</v>
      </c>
      <c r="AB431" s="200" t="e">
        <f>+#REF!+AB53+#REF!+#REF!+AB267+AB283+AB288+#REF!+#REF!+#REF!+#REF!+#REF!+#REF!+#REF!+#REF!+#REF!+#REF!+AB419</f>
        <v>#REF!</v>
      </c>
      <c r="AC431" s="19"/>
      <c r="AD431" s="19"/>
      <c r="AE431" s="50"/>
      <c r="AF431" s="19"/>
      <c r="AG431" s="19"/>
      <c r="AH431" s="39"/>
      <c r="AI431" s="39"/>
      <c r="AJ431" s="39"/>
      <c r="AK431" s="39"/>
      <c r="AL431" s="22"/>
      <c r="AM431" s="39"/>
      <c r="AN431" s="39"/>
      <c r="AO431" s="39"/>
      <c r="AP431" s="39"/>
      <c r="AQ431" s="39"/>
      <c r="AR431" s="39"/>
      <c r="AS431" s="50"/>
      <c r="AT431" s="39"/>
      <c r="AU431" s="39"/>
      <c r="AV431" s="77"/>
      <c r="AW431" s="77"/>
      <c r="AX431" s="78"/>
      <c r="AY431" s="78"/>
      <c r="AZ431" s="78"/>
      <c r="BA431" s="78"/>
      <c r="BB431" s="78"/>
      <c r="BC431" s="39"/>
      <c r="BD431" s="39"/>
      <c r="BE431" s="22"/>
      <c r="BF431" s="39"/>
      <c r="BG431" s="39"/>
      <c r="BH431" s="22"/>
      <c r="BI431" s="22"/>
      <c r="BJ431" s="40"/>
      <c r="BK431" s="200" t="e">
        <f>+#REF!+BK53+#REF!+#REF!+BK267+BK283+BK288+#REF!+#REF!+#REF!+#REF!+#REF!+#REF!+#REF!+#REF!+#REF!+#REF!+BK419</f>
        <v>#REF!</v>
      </c>
      <c r="BL431" s="200" t="e">
        <f>+#REF!+BL53+#REF!+#REF!+BL267+BL283+BL288+#REF!+#REF!+#REF!+#REF!+#REF!+#REF!+#REF!+#REF!+#REF!+#REF!+BL419</f>
        <v>#REF!</v>
      </c>
      <c r="BM431" s="200" t="e">
        <f>+#REF!+BM53+#REF!+#REF!+BM267+BM283+BM288+#REF!+#REF!+#REF!+#REF!+#REF!+#REF!+#REF!+#REF!+#REF!+#REF!+BM419</f>
        <v>#REF!</v>
      </c>
      <c r="BN431" s="200" t="e">
        <f>+#REF!+BN53+#REF!+#REF!+BN267+BN283+BN288+#REF!+#REF!+#REF!+#REF!+#REF!+#REF!+#REF!+#REF!+#REF!+#REF!+BN419</f>
        <v>#REF!</v>
      </c>
      <c r="BO431" s="200" t="e">
        <f>+#REF!+BO53+#REF!+#REF!+BO267+BO283+BO288+#REF!+#REF!+#REF!+#REF!+#REF!+#REF!+#REF!+#REF!+#REF!+#REF!+BO419</f>
        <v>#REF!</v>
      </c>
      <c r="BP431" s="200" t="e">
        <f>+#REF!+BP53+#REF!+#REF!+BP267+BP283+BP288+#REF!+#REF!+#REF!+#REF!+#REF!+#REF!+#REF!+#REF!+#REF!+#REF!+BP419</f>
        <v>#REF!</v>
      </c>
      <c r="BQ431" s="200" t="e">
        <f>+#REF!+BQ53+#REF!+#REF!+BQ267+BQ283+BQ288+#REF!+#REF!+#REF!+#REF!+#REF!+#REF!+#REF!+#REF!+#REF!+#REF!+BQ419</f>
        <v>#REF!</v>
      </c>
      <c r="BR431" s="200" t="e">
        <f>+#REF!+BR53+#REF!+#REF!+BR267+BR283+BR288+#REF!+#REF!+#REF!+#REF!+#REF!+#REF!+#REF!+#REF!+#REF!+#REF!+BR419</f>
        <v>#REF!</v>
      </c>
      <c r="BS431" s="200" t="e">
        <f>+#REF!+BS53+#REF!+#REF!+BS267+BS283+BS288+#REF!+#REF!+#REF!+#REF!+#REF!+#REF!+#REF!+#REF!+#REF!+#REF!+BS419</f>
        <v>#REF!</v>
      </c>
      <c r="BT431" s="200" t="e">
        <f>+#REF!+BT53+#REF!+#REF!+BT267+BT283+BT288+#REF!+#REF!+#REF!+#REF!+#REF!+#REF!+#REF!+#REF!+#REF!+#REF!+BT419</f>
        <v>#REF!</v>
      </c>
      <c r="BU431" s="206" t="e">
        <f>+#REF!+BU53+#REF!+#REF!+BU267+BU283+BU288+#REF!+#REF!+#REF!+#REF!+#REF!+#REF!+#REF!+#REF!+#REF!+#REF!+BU419</f>
        <v>#REF!</v>
      </c>
      <c r="BV431" s="200" t="e">
        <f>+#REF!+BV53+#REF!+#REF!+BV267+BV283+BV288+#REF!+#REF!+#REF!+#REF!+#REF!+#REF!+#REF!+#REF!+#REF!+#REF!+BV419</f>
        <v>#REF!</v>
      </c>
      <c r="BW431" s="200" t="e">
        <f>+#REF!+BW53+#REF!+#REF!+BW267+BW283+BW288+#REF!+#REF!+#REF!+#REF!+#REF!+#REF!+#REF!+#REF!+#REF!+#REF!+BW419</f>
        <v>#REF!</v>
      </c>
      <c r="BX431" s="200" t="e">
        <f>+#REF!+BX53+#REF!+#REF!+BX267+BX283+BX288+#REF!+#REF!+#REF!+#REF!+#REF!+#REF!+#REF!+#REF!+#REF!+#REF!+BX419</f>
        <v>#REF!</v>
      </c>
      <c r="BY431" s="200" t="e">
        <f>+#REF!+BY53+#REF!+#REF!+BY267+BY283+BY288+#REF!+#REF!+#REF!+#REF!+#REF!+#REF!+#REF!+#REF!+#REF!+#REF!+BY419</f>
        <v>#REF!</v>
      </c>
      <c r="BZ431" s="200" t="e">
        <f>+#REF!+BZ53+#REF!+#REF!+BZ267+BZ283+BZ288+#REF!+#REF!+#REF!+#REF!+#REF!+#REF!+#REF!+#REF!+#REF!+#REF!+BZ419</f>
        <v>#REF!</v>
      </c>
      <c r="CA431" s="200" t="e">
        <f>+#REF!+CA53+#REF!+#REF!+CA267+CA283+CA288+#REF!+#REF!+#REF!+#REF!+#REF!+#REF!+#REF!+#REF!+#REF!+#REF!+CA419</f>
        <v>#REF!</v>
      </c>
      <c r="CB431" s="200" t="e">
        <f>+#REF!+CB53+#REF!+#REF!+CB267+CB283+CB288+#REF!+#REF!+#REF!+#REF!+#REF!+#REF!+#REF!+#REF!+#REF!+#REF!+CB419</f>
        <v>#REF!</v>
      </c>
      <c r="CC431" s="200" t="e">
        <f>+#REF!+CC53+#REF!+#REF!+CC267+CC283+CC288+#REF!+#REF!+#REF!+#REF!+#REF!+#REF!+#REF!+#REF!+#REF!+#REF!+CC419</f>
        <v>#REF!</v>
      </c>
      <c r="CD431" s="200" t="e">
        <f>+#REF!+CD53+#REF!+#REF!+CD267+CD283+CD288+#REF!+#REF!+#REF!+#REF!+#REF!+#REF!+#REF!+#REF!+#REF!+#REF!+CD419</f>
        <v>#REF!</v>
      </c>
      <c r="CE431" s="48" t="e">
        <f t="shared" si="1673"/>
        <v>#REF!</v>
      </c>
      <c r="CF431" s="48" t="e">
        <f t="shared" si="1612"/>
        <v>#REF!</v>
      </c>
      <c r="CG431" s="48" t="e">
        <f t="shared" si="1613"/>
        <v>#REF!</v>
      </c>
      <c r="CH431" s="48" t="e">
        <f t="shared" si="1614"/>
        <v>#REF!</v>
      </c>
      <c r="CI431" s="48" t="e">
        <f t="shared" si="1615"/>
        <v>#REF!</v>
      </c>
      <c r="CJ431" s="48" t="e">
        <f t="shared" si="1616"/>
        <v>#REF!</v>
      </c>
      <c r="CK431" s="48" t="e">
        <f t="shared" si="1617"/>
        <v>#REF!</v>
      </c>
      <c r="CL431" s="48" t="e">
        <f t="shared" si="1644"/>
        <v>#REF!</v>
      </c>
      <c r="CM431" s="48" t="e">
        <f t="shared" si="1645"/>
        <v>#REF!</v>
      </c>
      <c r="CN431" s="48" t="e">
        <f t="shared" si="1677"/>
        <v>#REF!</v>
      </c>
      <c r="CO431" s="48" t="e">
        <f t="shared" si="1618"/>
        <v>#REF!</v>
      </c>
      <c r="CP431" s="48" t="e">
        <f t="shared" si="1678"/>
        <v>#REF!</v>
      </c>
      <c r="CQ431" s="48" t="e">
        <f t="shared" si="1679"/>
        <v>#REF!</v>
      </c>
      <c r="CR431" s="48" t="e">
        <f t="shared" si="1620"/>
        <v>#REF!</v>
      </c>
      <c r="CS431" s="48" t="e">
        <f t="shared" si="1680"/>
        <v>#REF!</v>
      </c>
      <c r="CT431" s="48" t="e">
        <f t="shared" si="1681"/>
        <v>#REF!</v>
      </c>
      <c r="CU431" s="48" t="e">
        <f t="shared" si="1682"/>
        <v>#REF!</v>
      </c>
      <c r="CV431" s="48" t="e">
        <f t="shared" ref="CV431:CV438" si="1691">+IF(CN431=0,,CU431/CN431*100)</f>
        <v>#REF!</v>
      </c>
      <c r="CW431" s="200" t="e">
        <f>+#REF!+CW53+#REF!+#REF!+CW267+CW283+CW288+#REF!+#REF!+#REF!+#REF!+#REF!+#REF!+#REF!+#REF!+#REF!+#REF!+CW419</f>
        <v>#REF!</v>
      </c>
      <c r="CX431" s="200" t="e">
        <f>+#REF!+CX53+#REF!+#REF!+CX267+CX283+CX288+#REF!+#REF!+#REF!+#REF!+#REF!+#REF!+#REF!+#REF!+#REF!+#REF!+CX419</f>
        <v>#REF!</v>
      </c>
      <c r="CY431" s="200" t="e">
        <f>+#REF!+CY53+#REF!+#REF!+CY267+CY283+CY288+#REF!+#REF!+#REF!+#REF!+#REF!+#REF!+#REF!+#REF!+#REF!+#REF!+CY419</f>
        <v>#REF!</v>
      </c>
      <c r="CZ431" s="200" t="e">
        <f>+#REF!+CZ53+#REF!+#REF!+CZ267+CZ283+CZ288+#REF!+#REF!+#REF!+#REF!+#REF!+#REF!+#REF!+#REF!+#REF!+#REF!+CZ419</f>
        <v>#REF!</v>
      </c>
      <c r="DA431" s="20" t="e">
        <f t="shared" si="1683"/>
        <v>#REF!</v>
      </c>
      <c r="DB431" s="20" t="e">
        <f t="shared" si="1649"/>
        <v>#REF!</v>
      </c>
      <c r="DC431" s="51" t="e">
        <f t="shared" si="1650"/>
        <v>#REF!</v>
      </c>
      <c r="DD431" s="51" t="e">
        <f t="shared" si="1650"/>
        <v>#REF!</v>
      </c>
      <c r="DE431" s="200" t="e">
        <f>+#REF!+DE53+#REF!+#REF!+DE267+DE283+DE288+#REF!+#REF!+#REF!+#REF!+#REF!+#REF!+#REF!+#REF!+#REF!+#REF!+DE419</f>
        <v>#REF!</v>
      </c>
      <c r="DF431" s="200" t="e">
        <f>+#REF!+DF53+#REF!+#REF!+DF267+DF283+DF288+#REF!+#REF!+#REF!+#REF!+#REF!+#REF!+#REF!+#REF!+#REF!+#REF!+DF419</f>
        <v>#REF!</v>
      </c>
      <c r="DG431" s="200" t="e">
        <f>+#REF!+DG53+#REF!+#REF!+DG267+DG283+DG288+#REF!+#REF!+#REF!+#REF!+#REF!+#REF!+#REF!+#REF!+#REF!+#REF!+DG419</f>
        <v>#REF!</v>
      </c>
      <c r="DH431" s="200" t="e">
        <f>+#REF!+DH53+#REF!+#REF!+DH267+DH283+DH288+#REF!+#REF!+#REF!+#REF!+#REF!+#REF!+#REF!+#REF!+#REF!+#REF!+DH419</f>
        <v>#REF!</v>
      </c>
      <c r="DI431" s="39"/>
      <c r="DJ431" s="200" t="e">
        <f>+#REF!+DJ53+#REF!+#REF!+DJ267+DJ283+DJ288+#REF!+#REF!+#REF!+#REF!+#REF!+#REF!+#REF!+#REF!+#REF!+#REF!+DJ419</f>
        <v>#REF!</v>
      </c>
      <c r="DK431" s="200" t="e">
        <f>+#REF!+DK53+#REF!+#REF!+DK267+DK283+DK288+#REF!+#REF!+#REF!+#REF!+#REF!+#REF!+#REF!+#REF!+#REF!+#REF!+DK419</f>
        <v>#REF!</v>
      </c>
      <c r="DL431" s="200" t="e">
        <f>+#REF!+DL53+#REF!+#REF!+DL267+DL283+DL288+#REF!+#REF!+#REF!+#REF!+#REF!+#REF!+#REF!+#REF!+#REF!+#REF!+DL419</f>
        <v>#REF!</v>
      </c>
      <c r="DM431" s="48">
        <f>+AT431-'[2]тарифы (12-13) население 15%'!AP541</f>
        <v>0</v>
      </c>
      <c r="DN431" s="39"/>
      <c r="DO431" s="39"/>
      <c r="DP431" s="39"/>
      <c r="DQ431" s="39"/>
      <c r="DR431" s="39"/>
      <c r="DS431" s="39"/>
      <c r="DT431" s="39"/>
      <c r="DU431" s="39"/>
      <c r="DV431" s="48" t="e">
        <f>+DV419</f>
        <v>#REF!</v>
      </c>
      <c r="DW431" s="48" t="e">
        <f>+DW419</f>
        <v>#REF!</v>
      </c>
      <c r="DX431" s="21">
        <f>+'[1]тарифы (НВВ) население на 4,2%'!CO561</f>
        <v>84.790306738461524</v>
      </c>
      <c r="DY431" s="20" t="e">
        <f t="shared" si="1671"/>
        <v>#REF!</v>
      </c>
      <c r="DZ431" s="46"/>
      <c r="EA431" s="46"/>
      <c r="EB431" s="46"/>
      <c r="EC431" s="39"/>
      <c r="ED431" s="39"/>
      <c r="EE431" s="39"/>
      <c r="EF431" s="39"/>
      <c r="EG431" s="39"/>
      <c r="EH431" s="39"/>
      <c r="EI431" s="39"/>
      <c r="EJ431" s="22">
        <f t="shared" si="1662"/>
        <v>0</v>
      </c>
      <c r="EK431" s="39"/>
      <c r="EL431" s="19" t="e">
        <f t="shared" si="1684"/>
        <v>#REF!</v>
      </c>
      <c r="EM431" s="19" t="e">
        <f t="shared" si="1684"/>
        <v>#REF!</v>
      </c>
      <c r="EN431" s="21" t="e">
        <f t="shared" si="1684"/>
        <v>#REF!</v>
      </c>
      <c r="EO431" s="21" t="e">
        <f t="shared" si="1684"/>
        <v>#REF!</v>
      </c>
      <c r="EP431" s="21"/>
      <c r="EQ431" s="21" t="e">
        <f t="shared" si="1623"/>
        <v>#REF!</v>
      </c>
      <c r="ER431" s="21"/>
      <c r="ES431" s="21"/>
      <c r="ET431" s="21"/>
      <c r="EU431" s="21"/>
      <c r="EV431" s="21"/>
      <c r="EW431" s="39"/>
      <c r="EX431" s="39"/>
      <c r="EY431" s="39"/>
      <c r="EZ431" s="39"/>
      <c r="FA431" s="39"/>
      <c r="FB431" s="39"/>
      <c r="FC431" s="39"/>
      <c r="FD431" s="39"/>
      <c r="FE431" s="39"/>
      <c r="FF431" s="39"/>
      <c r="FG431" s="39"/>
      <c r="FH431" s="39"/>
      <c r="FI431" s="39"/>
      <c r="FJ431" s="46"/>
      <c r="FK431" s="46"/>
      <c r="FL431" s="46"/>
      <c r="FM431" s="46"/>
      <c r="FN431" s="46"/>
      <c r="FO431" s="39">
        <f t="shared" si="1624"/>
        <v>0</v>
      </c>
      <c r="FP431" s="39"/>
      <c r="FQ431" s="39"/>
      <c r="FR431" s="39">
        <f t="shared" si="1625"/>
        <v>0</v>
      </c>
      <c r="FS431" s="39"/>
      <c r="FT431" s="22"/>
      <c r="FU431" s="22"/>
      <c r="FV431" s="19" t="e">
        <f t="shared" si="1685"/>
        <v>#REF!</v>
      </c>
      <c r="FW431" s="19" t="e">
        <f t="shared" si="1686"/>
        <v>#REF!</v>
      </c>
      <c r="FX431" s="39"/>
      <c r="FY431" s="19" t="e">
        <f t="shared" si="1630"/>
        <v>#REF!</v>
      </c>
      <c r="FZ431" s="39"/>
      <c r="GA431" s="39"/>
      <c r="GB431" s="39"/>
      <c r="GC431" s="20">
        <f t="shared" si="1687"/>
        <v>0</v>
      </c>
      <c r="GD431" s="21">
        <f t="shared" si="1669"/>
        <v>0</v>
      </c>
      <c r="GE431" s="21"/>
      <c r="GF431" s="21"/>
      <c r="GG431" s="21"/>
      <c r="GH431" s="21"/>
      <c r="GI431" s="21"/>
      <c r="GJ431" s="21"/>
      <c r="GK431" s="21"/>
      <c r="GL431" s="21"/>
      <c r="GM431" s="46"/>
      <c r="GN431" s="46"/>
      <c r="GO431" s="39">
        <f t="shared" ref="GO431:GO443" si="1692">+EU431</f>
        <v>0</v>
      </c>
      <c r="GP431" s="39"/>
      <c r="GQ431" s="39"/>
      <c r="GR431" s="39">
        <f t="shared" si="1688"/>
        <v>0</v>
      </c>
      <c r="GS431" s="39"/>
      <c r="GT431" s="22"/>
      <c r="GU431" s="169"/>
      <c r="GV431" s="19"/>
      <c r="GW431" s="19"/>
      <c r="GX431" s="19"/>
      <c r="GY431" s="19"/>
      <c r="GZ431" s="19"/>
      <c r="HA431" s="39">
        <f t="shared" si="1689"/>
        <v>0</v>
      </c>
      <c r="HB431" s="39"/>
      <c r="HC431" s="39"/>
      <c r="HD431" s="39">
        <f t="shared" si="1690"/>
        <v>0</v>
      </c>
      <c r="HE431" s="39"/>
      <c r="HF431" s="207"/>
      <c r="HG431" s="169"/>
    </row>
    <row r="432" spans="1:215" ht="16.149999999999999" hidden="1" customHeight="1" thickBot="1">
      <c r="B432" s="10"/>
      <c r="C432" s="199" t="s">
        <v>148</v>
      </c>
      <c r="D432" s="206" t="e">
        <f>+D54+#REF!+D110+D112+#REF!+D163+#REF!+D206+#REF!+D323+D326+#REF!+#REF!+#REF!+D399+#REF!+D420</f>
        <v>#REF!</v>
      </c>
      <c r="E432" s="206" t="e">
        <f>+E54+#REF!+E110+E112+#REF!+E163+#REF!+E206+#REF!+E323+E326+#REF!+#REF!+#REF!+E399+#REF!+E420</f>
        <v>#REF!</v>
      </c>
      <c r="F432" s="206" t="e">
        <f>+F54+#REF!+F110+F112+#REF!+F163+#REF!+F206+#REF!+F323+F326+#REF!+#REF!+#REF!+F399+#REF!+F420</f>
        <v>#REF!</v>
      </c>
      <c r="G432" s="206" t="e">
        <f>+G54+#REF!+G110+G112+#REF!+G163+#REF!+G206+#REF!+G323+G326+#REF!+#REF!+#REF!+G399+#REF!+G420</f>
        <v>#REF!</v>
      </c>
      <c r="H432" s="206" t="e">
        <f>+H54+#REF!+H110+H112+#REF!+H163+#REF!+H206+#REF!+H323+H326+#REF!+#REF!+#REF!+H399+#REF!+H420</f>
        <v>#REF!</v>
      </c>
      <c r="I432" s="206" t="e">
        <f>+I54+#REF!+I110+I112+#REF!+I163+#REF!+I206+#REF!+I323+I326+#REF!+#REF!+#REF!+I399+#REF!+I420</f>
        <v>#REF!</v>
      </c>
      <c r="J432" s="206" t="e">
        <f>+J54+#REF!+J110+J112+#REF!+J163+#REF!+J206+#REF!+J323+J326+#REF!+#REF!+#REF!+J399+#REF!+J420</f>
        <v>#REF!</v>
      </c>
      <c r="K432" s="206" t="e">
        <f>+K54+#REF!+K110+K112+#REF!+K163+#REF!+K206+#REF!+K323+K326+#REF!+#REF!+#REF!+K399+#REF!+K420</f>
        <v>#REF!</v>
      </c>
      <c r="L432" s="206" t="e">
        <f>+L54+#REF!+L110+L112+#REF!+L163+#REF!+L206+#REF!+L323+L326+#REF!+#REF!+#REF!+L399+#REF!+L420</f>
        <v>#REF!</v>
      </c>
      <c r="M432" s="206" t="e">
        <f>+M54+#REF!+M110+M112+#REF!+M163+#REF!+M206+#REF!+M323+M326+#REF!+#REF!+#REF!+M399+#REF!+M420</f>
        <v>#REF!</v>
      </c>
      <c r="N432" s="206" t="e">
        <f>+N54+#REF!+N110+N112+#REF!+N163+#REF!+N206+#REF!+N323+N326+#REF!+#REF!+#REF!+N399+#REF!+N420</f>
        <v>#REF!</v>
      </c>
      <c r="O432" s="206" t="e">
        <f>+O54+#REF!+O110+O112+#REF!+O163+#REF!+O206+#REF!+O323+O326+#REF!+#REF!+#REF!+O399+#REF!+O420</f>
        <v>#REF!</v>
      </c>
      <c r="P432" s="206" t="e">
        <f>+P54+#REF!+P110+P112+#REF!+P163+#REF!+P206+#REF!+P323+P326+#REF!+#REF!+#REF!+P399+#REF!+P420</f>
        <v>#REF!</v>
      </c>
      <c r="Q432" s="206" t="e">
        <f>+Q54+#REF!+Q110+Q112+#REF!+Q163+#REF!+Q206+#REF!+Q323+Q326+#REF!+#REF!+#REF!+Q399+#REF!+Q420</f>
        <v>#REF!</v>
      </c>
      <c r="R432" s="206" t="e">
        <f>+R54+#REF!+R110+R112+#REF!+R163+#REF!+R206+#REF!+R323+R326+#REF!+#REF!+#REF!+R399+#REF!+R420</f>
        <v>#REF!</v>
      </c>
      <c r="S432" s="206" t="e">
        <f>+S54+#REF!+S110+S112+#REF!+S163+#REF!+S206+#REF!+S323+S326+#REF!+#REF!+#REF!+S399+#REF!+S420</f>
        <v>#REF!</v>
      </c>
      <c r="T432" s="206" t="e">
        <f>+T54+#REF!+T110+T112+#REF!+T163+#REF!+T206+#REF!+T323+T326+#REF!+#REF!+#REF!+T399+#REF!+T420</f>
        <v>#REF!</v>
      </c>
      <c r="U432" s="206" t="e">
        <f>+U54+#REF!+U110+U112+#REF!+U163+#REF!+U206+#REF!+U323+U326+#REF!+#REF!+#REF!+U399+#REF!+U420</f>
        <v>#REF!</v>
      </c>
      <c r="V432" s="39"/>
      <c r="W432" s="39"/>
      <c r="X432" s="22" t="e">
        <f>+BK432/D432*1000</f>
        <v>#REF!</v>
      </c>
      <c r="Y432" s="39"/>
      <c r="Z432" s="79" t="e">
        <f>+BO432/D432*1000</f>
        <v>#REF!</v>
      </c>
      <c r="AA432" s="39"/>
      <c r="AB432" s="79" t="e">
        <f>+BS432/D432*1000</f>
        <v>#REF!</v>
      </c>
      <c r="AC432" s="19"/>
      <c r="AD432" s="19"/>
      <c r="AE432" s="50"/>
      <c r="AF432" s="19"/>
      <c r="AG432" s="19"/>
      <c r="AH432" s="39"/>
      <c r="AI432" s="39"/>
      <c r="AJ432" s="39"/>
      <c r="AK432" s="39"/>
      <c r="AL432" s="22"/>
      <c r="AM432" s="39"/>
      <c r="AN432" s="39"/>
      <c r="AO432" s="39"/>
      <c r="AP432" s="39"/>
      <c r="AQ432" s="39"/>
      <c r="AR432" s="39"/>
      <c r="AS432" s="50"/>
      <c r="AT432" s="39"/>
      <c r="AU432" s="39"/>
      <c r="AV432" s="77"/>
      <c r="AW432" s="77"/>
      <c r="AX432" s="78"/>
      <c r="AY432" s="78"/>
      <c r="AZ432" s="78"/>
      <c r="BA432" s="78"/>
      <c r="BB432" s="78"/>
      <c r="BC432" s="39"/>
      <c r="BD432" s="39"/>
      <c r="BE432" s="22"/>
      <c r="BF432" s="39"/>
      <c r="BG432" s="39"/>
      <c r="BH432" s="22"/>
      <c r="BI432" s="22"/>
      <c r="BJ432" s="40"/>
      <c r="BK432" s="206" t="e">
        <f>+BK54+#REF!+BK110+BK112+#REF!+BK163+#REF!+BK206+#REF!+BK323+BK326+#REF!+#REF!+#REF!+BK399+#REF!+BK420</f>
        <v>#REF!</v>
      </c>
      <c r="BL432" s="206" t="e">
        <f>+BL54+#REF!+BL110+BL112+#REF!+BL163+#REF!+BL206+#REF!+BL323+BL326+#REF!+#REF!+#REF!+BL399+#REF!+BL420</f>
        <v>#REF!</v>
      </c>
      <c r="BM432" s="206" t="e">
        <f>+BM54+#REF!+BM110+BM112+#REF!+BM163+#REF!+BM206+#REF!+BM323+BM326+#REF!+#REF!+#REF!+BM399+#REF!+BM420</f>
        <v>#REF!</v>
      </c>
      <c r="BN432" s="206" t="e">
        <f>+BN54+#REF!+BN110+BN112+#REF!+BN163+#REF!+BN206+#REF!+BN323+BN326+#REF!+#REF!+#REF!+BN399+#REF!+BN420</f>
        <v>#REF!</v>
      </c>
      <c r="BO432" s="206" t="e">
        <f>+BO54+#REF!+BO110+BO112+#REF!+BO163+#REF!+BO206+#REF!+BO323+BO326+#REF!+#REF!+#REF!+BO399+#REF!+BO420</f>
        <v>#REF!</v>
      </c>
      <c r="BP432" s="206" t="e">
        <f>+BP54+#REF!+BP110+BP112+#REF!+BP163+#REF!+BP206+#REF!+BP323+BP326+#REF!+#REF!+#REF!+BP399+#REF!+BP420</f>
        <v>#REF!</v>
      </c>
      <c r="BQ432" s="206" t="e">
        <f>+BQ54+#REF!+BQ110+BQ112+#REF!+BQ163+#REF!+BQ206+#REF!+BQ323+BQ326+#REF!+#REF!+#REF!+BQ399+#REF!+BQ420</f>
        <v>#REF!</v>
      </c>
      <c r="BR432" s="206" t="e">
        <f>+BR54+#REF!+BR110+BR112+#REF!+BR163+#REF!+BR206+#REF!+BR323+BR326+#REF!+#REF!+#REF!+BR399+#REF!+BR420</f>
        <v>#REF!</v>
      </c>
      <c r="BS432" s="206" t="e">
        <f>+BS54+#REF!+BS110+BS112+#REF!+BS163+#REF!+BS206+#REF!+BS323+BS326+#REF!+#REF!+#REF!+BS399+#REF!+BS420</f>
        <v>#REF!</v>
      </c>
      <c r="BT432" s="206" t="e">
        <f>+BT54+#REF!+BT110+BT112+#REF!+BT163+#REF!+BT206+#REF!+BT323+BT326+#REF!+#REF!+#REF!+BT399+#REF!+BT420</f>
        <v>#REF!</v>
      </c>
      <c r="BU432" s="206" t="e">
        <f>+BU54+#REF!+BU110+BU112+#REF!+BU163+#REF!+BU206+#REF!+BU323+BU326+#REF!+#REF!+#REF!+BU399+#REF!+BU420</f>
        <v>#REF!</v>
      </c>
      <c r="BV432" s="206" t="e">
        <f>+BV54+#REF!+BV110+BV112+#REF!+BV163+#REF!+BV206+#REF!+BV323+BV326+#REF!+#REF!+#REF!+BV399+#REF!+BV420</f>
        <v>#REF!</v>
      </c>
      <c r="BW432" s="206" t="e">
        <f>+BW54+#REF!+BW110+BW112+#REF!+BW163+#REF!+BW206+#REF!+BW323+BW326+#REF!+#REF!+#REF!+BW399+#REF!+BW420</f>
        <v>#REF!</v>
      </c>
      <c r="BX432" s="206" t="e">
        <f>+BX54+#REF!+BX110+BX112+#REF!+BX163+#REF!+BX206+#REF!+BX323+BX326+#REF!+#REF!+#REF!+BX399+#REF!+BX420</f>
        <v>#REF!</v>
      </c>
      <c r="BY432" s="206" t="e">
        <f>+BY54+#REF!+BY110+BY112+#REF!+BY163+#REF!+BY206+#REF!+BY323+BY326+#REF!+#REF!+#REF!+BY399+#REF!+BY420</f>
        <v>#REF!</v>
      </c>
      <c r="BZ432" s="206" t="e">
        <f>+BZ54+#REF!+BZ110+BZ112+#REF!+BZ163+#REF!+BZ206+#REF!+BZ323+BZ326+#REF!+#REF!+#REF!+BZ399+#REF!+BZ420</f>
        <v>#REF!</v>
      </c>
      <c r="CA432" s="206" t="e">
        <f>+CA54+#REF!+CA110+CA112+#REF!+CA163+#REF!+CA206+#REF!+CA323+CA326+#REF!+#REF!+#REF!+CA399+#REF!+CA420</f>
        <v>#REF!</v>
      </c>
      <c r="CB432" s="206" t="e">
        <f>+CB54+#REF!+CB110+CB112+#REF!+CB163+#REF!+CB206+#REF!+CB323+CB326+#REF!+#REF!+#REF!+CB399+#REF!+CB420</f>
        <v>#REF!</v>
      </c>
      <c r="CC432" s="206" t="e">
        <f>+CC54+#REF!+CC110+CC112+#REF!+CC163+#REF!+CC206+#REF!+CC323+CC326+#REF!+#REF!+#REF!+CC399+#REF!+CC420</f>
        <v>#REF!</v>
      </c>
      <c r="CD432" s="206" t="e">
        <f>+CD54+#REF!+CD110+CD112+#REF!+CD163+#REF!+CD206+#REF!+CD323+CD326+#REF!+#REF!+#REF!+CD399+#REF!+CD420</f>
        <v>#REF!</v>
      </c>
      <c r="CE432" s="48" t="e">
        <f t="shared" si="1673"/>
        <v>#REF!</v>
      </c>
      <c r="CF432" s="48" t="e">
        <f t="shared" si="1612"/>
        <v>#REF!</v>
      </c>
      <c r="CG432" s="48" t="e">
        <f t="shared" si="1613"/>
        <v>#REF!</v>
      </c>
      <c r="CH432" s="48" t="e">
        <f t="shared" si="1614"/>
        <v>#REF!</v>
      </c>
      <c r="CI432" s="48" t="e">
        <f t="shared" si="1615"/>
        <v>#REF!</v>
      </c>
      <c r="CJ432" s="48" t="e">
        <f t="shared" si="1616"/>
        <v>#REF!</v>
      </c>
      <c r="CK432" s="48" t="e">
        <f t="shared" si="1617"/>
        <v>#REF!</v>
      </c>
      <c r="CL432" s="48" t="e">
        <f t="shared" si="1644"/>
        <v>#REF!</v>
      </c>
      <c r="CM432" s="48" t="e">
        <f t="shared" si="1645"/>
        <v>#REF!</v>
      </c>
      <c r="CN432" s="48" t="e">
        <f t="shared" si="1677"/>
        <v>#REF!</v>
      </c>
      <c r="CO432" s="48" t="e">
        <f t="shared" si="1618"/>
        <v>#REF!</v>
      </c>
      <c r="CP432" s="48" t="e">
        <f t="shared" si="1678"/>
        <v>#REF!</v>
      </c>
      <c r="CQ432" s="48" t="e">
        <f t="shared" si="1679"/>
        <v>#REF!</v>
      </c>
      <c r="CR432" s="48" t="e">
        <f t="shared" si="1620"/>
        <v>#REF!</v>
      </c>
      <c r="CS432" s="48" t="e">
        <f t="shared" si="1680"/>
        <v>#REF!</v>
      </c>
      <c r="CT432" s="48" t="e">
        <f t="shared" si="1681"/>
        <v>#REF!</v>
      </c>
      <c r="CU432" s="48" t="e">
        <f t="shared" si="1682"/>
        <v>#REF!</v>
      </c>
      <c r="CV432" s="48" t="e">
        <f t="shared" si="1691"/>
        <v>#REF!</v>
      </c>
      <c r="CW432" s="206" t="e">
        <f>+CW54+#REF!+CW110+CW112+#REF!+CW163+#REF!+CW206+#REF!+CW323+CW326+#REF!+#REF!+#REF!+CW399+#REF!+CW420</f>
        <v>#REF!</v>
      </c>
      <c r="CX432" s="206" t="e">
        <f>+CX54+#REF!+CX110+CX112+#REF!+CX163+#REF!+CX206+#REF!+CX323+CX326+#REF!+#REF!+#REF!+CX399+#REF!+CX420</f>
        <v>#REF!</v>
      </c>
      <c r="CY432" s="206" t="e">
        <f>+CY54+#REF!+CY110+CY112+#REF!+CY163+#REF!+CY206+#REF!+CY323+CY326+#REF!+#REF!+#REF!+CY399+#REF!+CY420</f>
        <v>#REF!</v>
      </c>
      <c r="CZ432" s="206" t="e">
        <f>+CZ54+#REF!+CZ110+CZ112+#REF!+CZ163+#REF!+CZ206+#REF!+CZ323+CZ326+#REF!+#REF!+#REF!+CZ399+#REF!+CZ420</f>
        <v>#REF!</v>
      </c>
      <c r="DA432" s="20" t="e">
        <f t="shared" si="1683"/>
        <v>#REF!</v>
      </c>
      <c r="DB432" s="20" t="e">
        <f t="shared" si="1649"/>
        <v>#REF!</v>
      </c>
      <c r="DC432" s="51" t="e">
        <f>+IF(CW432=0,,CY432/CW432*100)</f>
        <v>#REF!</v>
      </c>
      <c r="DD432" s="51" t="e">
        <f>+IF(CX432=0,,CZ432/CX432*100)</f>
        <v>#REF!</v>
      </c>
      <c r="DE432" s="206" t="e">
        <f>+DE54+#REF!+DE110+DE112+#REF!+DE163+#REF!+DE206+#REF!+DE323+DE326+#REF!+#REF!+#REF!+DE399+#REF!+DE420</f>
        <v>#REF!</v>
      </c>
      <c r="DF432" s="206" t="e">
        <f>+DF54+#REF!+DF110+DF112+#REF!+DF163+#REF!+DF206+#REF!+DF323+DF326+#REF!+#REF!+#REF!+DF399+#REF!+DF420</f>
        <v>#REF!</v>
      </c>
      <c r="DG432" s="206" t="e">
        <f>+DG54+#REF!+DG110+DG112+#REF!+DG163+#REF!+DG206+#REF!+DG323+DG326+#REF!+#REF!+#REF!+DG399+#REF!+DG420</f>
        <v>#REF!</v>
      </c>
      <c r="DH432" s="206" t="e">
        <f>+DH54+#REF!+DH110+DH112+#REF!+DH163+#REF!+DH206+#REF!+DH323+DH326+#REF!+#REF!+#REF!+DH399+#REF!+DH420</f>
        <v>#REF!</v>
      </c>
      <c r="DI432" s="39"/>
      <c r="DJ432" s="206" t="e">
        <f>+DJ54+#REF!+DJ110+DJ112+#REF!+DJ163+#REF!+DJ206+#REF!+DJ323+DJ326+#REF!+#REF!+#REF!+DJ399+#REF!+DJ420</f>
        <v>#REF!</v>
      </c>
      <c r="DK432" s="206" t="e">
        <f>+DK54+#REF!+DK110+DK112+#REF!+DK163+#REF!+DK206+#REF!+DK323+DK326+#REF!+#REF!+#REF!+DK399+#REF!+DK420</f>
        <v>#REF!</v>
      </c>
      <c r="DL432" s="206" t="e">
        <f>+DL54+#REF!+DL110+DL112+#REF!+DL163+#REF!+DL206+#REF!+DL323+DL326+#REF!+#REF!+#REF!+DL399+#REF!+DL420</f>
        <v>#REF!</v>
      </c>
      <c r="DM432" s="48">
        <f>+AT432-'[2]тарифы (12-13) население 15%'!AP542</f>
        <v>0</v>
      </c>
      <c r="DN432" s="39"/>
      <c r="DO432" s="39"/>
      <c r="DP432" s="39"/>
      <c r="DQ432" s="39"/>
      <c r="DR432" s="39"/>
      <c r="DS432" s="39"/>
      <c r="DT432" s="39"/>
      <c r="DU432" s="39"/>
      <c r="DV432" s="48" t="e">
        <f>+DV420</f>
        <v>#REF!</v>
      </c>
      <c r="DW432" s="48" t="e">
        <f>+DW420</f>
        <v>#REF!</v>
      </c>
      <c r="DX432" s="21">
        <f>+'[1]тарифы (НВВ) население на 4,2%'!CO562</f>
        <v>81.319809266496847</v>
      </c>
      <c r="DY432" s="20" t="e">
        <f t="shared" si="1671"/>
        <v>#REF!</v>
      </c>
      <c r="DZ432" s="46"/>
      <c r="EA432" s="46"/>
      <c r="EB432" s="46"/>
      <c r="EC432" s="39"/>
      <c r="ED432" s="39"/>
      <c r="EE432" s="39"/>
      <c r="EF432" s="39"/>
      <c r="EG432" s="39"/>
      <c r="EH432" s="39"/>
      <c r="EI432" s="39"/>
      <c r="EJ432" s="22">
        <f t="shared" si="1662"/>
        <v>0</v>
      </c>
      <c r="EK432" s="39"/>
      <c r="EL432" s="19" t="e">
        <f t="shared" si="1684"/>
        <v>#REF!</v>
      </c>
      <c r="EM432" s="19" t="e">
        <f t="shared" si="1684"/>
        <v>#REF!</v>
      </c>
      <c r="EN432" s="21" t="e">
        <f t="shared" si="1684"/>
        <v>#REF!</v>
      </c>
      <c r="EO432" s="21" t="e">
        <f t="shared" si="1684"/>
        <v>#REF!</v>
      </c>
      <c r="EP432" s="21"/>
      <c r="EQ432" s="21" t="e">
        <f t="shared" si="1623"/>
        <v>#REF!</v>
      </c>
      <c r="ER432" s="21"/>
      <c r="ES432" s="21"/>
      <c r="ET432" s="21"/>
      <c r="EU432" s="21"/>
      <c r="EV432" s="21"/>
      <c r="EW432" s="39"/>
      <c r="EX432" s="39"/>
      <c r="EY432" s="39"/>
      <c r="EZ432" s="39"/>
      <c r="FA432" s="39"/>
      <c r="FB432" s="39"/>
      <c r="FC432" s="39"/>
      <c r="FD432" s="39"/>
      <c r="FE432" s="39"/>
      <c r="FF432" s="39"/>
      <c r="FG432" s="39"/>
      <c r="FH432" s="39"/>
      <c r="FI432" s="39"/>
      <c r="FJ432" s="46"/>
      <c r="FK432" s="46"/>
      <c r="FL432" s="46"/>
      <c r="FM432" s="46"/>
      <c r="FN432" s="46"/>
      <c r="FO432" s="39">
        <f t="shared" si="1624"/>
        <v>0</v>
      </c>
      <c r="FP432" s="39"/>
      <c r="FQ432" s="39"/>
      <c r="FR432" s="39">
        <f t="shared" si="1625"/>
        <v>0</v>
      </c>
      <c r="FS432" s="39"/>
      <c r="FT432" s="22"/>
      <c r="FU432" s="22"/>
      <c r="FV432" s="19" t="e">
        <f t="shared" si="1685"/>
        <v>#REF!</v>
      </c>
      <c r="FW432" s="19" t="e">
        <f t="shared" si="1686"/>
        <v>#REF!</v>
      </c>
      <c r="FX432" s="39"/>
      <c r="FY432" s="19" t="e">
        <f t="shared" si="1630"/>
        <v>#REF!</v>
      </c>
      <c r="FZ432" s="39"/>
      <c r="GA432" s="39"/>
      <c r="GB432" s="39"/>
      <c r="GC432" s="20">
        <f t="shared" si="1687"/>
        <v>0</v>
      </c>
      <c r="GD432" s="21">
        <f t="shared" si="1669"/>
        <v>0</v>
      </c>
      <c r="GE432" s="21"/>
      <c r="GF432" s="21"/>
      <c r="GG432" s="21"/>
      <c r="GH432" s="21"/>
      <c r="GI432" s="21"/>
      <c r="GJ432" s="21"/>
      <c r="GK432" s="21"/>
      <c r="GL432" s="21"/>
      <c r="GM432" s="46"/>
      <c r="GN432" s="46"/>
      <c r="GO432" s="39">
        <f t="shared" si="1692"/>
        <v>0</v>
      </c>
      <c r="GP432" s="39"/>
      <c r="GQ432" s="39"/>
      <c r="GR432" s="39">
        <f t="shared" si="1688"/>
        <v>0</v>
      </c>
      <c r="GS432" s="39"/>
      <c r="GT432" s="22"/>
      <c r="GU432" s="169"/>
      <c r="GV432" s="19"/>
      <c r="GW432" s="19"/>
      <c r="GX432" s="19"/>
      <c r="GY432" s="19"/>
      <c r="GZ432" s="19"/>
      <c r="HA432" s="39">
        <f t="shared" si="1689"/>
        <v>0</v>
      </c>
      <c r="HB432" s="39"/>
      <c r="HC432" s="39"/>
      <c r="HD432" s="39">
        <f t="shared" si="1690"/>
        <v>0</v>
      </c>
      <c r="HE432" s="39"/>
      <c r="HF432" s="207"/>
      <c r="HG432" s="169"/>
    </row>
    <row r="433" spans="2:215" ht="16.149999999999999" hidden="1" customHeight="1" thickBot="1">
      <c r="B433" s="10"/>
      <c r="C433" s="199" t="s">
        <v>148</v>
      </c>
      <c r="D433" s="206"/>
      <c r="E433" s="206"/>
      <c r="F433" s="206"/>
      <c r="G433" s="206"/>
      <c r="H433" s="206"/>
      <c r="I433" s="206"/>
      <c r="J433" s="206"/>
      <c r="K433" s="206"/>
      <c r="L433" s="206"/>
      <c r="M433" s="206"/>
      <c r="N433" s="206"/>
      <c r="O433" s="206"/>
      <c r="P433" s="206"/>
      <c r="Q433" s="206"/>
      <c r="R433" s="206"/>
      <c r="S433" s="206"/>
      <c r="T433" s="206"/>
      <c r="U433" s="206"/>
      <c r="V433" s="39"/>
      <c r="W433" s="39"/>
      <c r="X433" s="22"/>
      <c r="Y433" s="39"/>
      <c r="Z433" s="79"/>
      <c r="AA433" s="39"/>
      <c r="AB433" s="79"/>
      <c r="AC433" s="19"/>
      <c r="AD433" s="19"/>
      <c r="AE433" s="50"/>
      <c r="AF433" s="19"/>
      <c r="AG433" s="19"/>
      <c r="AH433" s="39"/>
      <c r="AI433" s="39"/>
      <c r="AJ433" s="39"/>
      <c r="AK433" s="39"/>
      <c r="AL433" s="22"/>
      <c r="AM433" s="39"/>
      <c r="AN433" s="39"/>
      <c r="AO433" s="39"/>
      <c r="AP433" s="39"/>
      <c r="AQ433" s="39"/>
      <c r="AR433" s="39"/>
      <c r="AS433" s="50"/>
      <c r="AT433" s="39"/>
      <c r="AU433" s="39"/>
      <c r="AV433" s="77"/>
      <c r="AW433" s="77"/>
      <c r="AX433" s="78"/>
      <c r="AY433" s="78"/>
      <c r="AZ433" s="78"/>
      <c r="BA433" s="78"/>
      <c r="BB433" s="78"/>
      <c r="BC433" s="39"/>
      <c r="BD433" s="39"/>
      <c r="BE433" s="22"/>
      <c r="BF433" s="39"/>
      <c r="BG433" s="39"/>
      <c r="BH433" s="22"/>
      <c r="BI433" s="22"/>
      <c r="BJ433" s="40"/>
      <c r="BK433" s="206"/>
      <c r="BL433" s="206"/>
      <c r="BM433" s="206"/>
      <c r="BN433" s="206"/>
      <c r="BO433" s="206"/>
      <c r="BP433" s="206"/>
      <c r="BQ433" s="206"/>
      <c r="BR433" s="206"/>
      <c r="BS433" s="206"/>
      <c r="BT433" s="206"/>
      <c r="BU433" s="206"/>
      <c r="BV433" s="206"/>
      <c r="BW433" s="206"/>
      <c r="BX433" s="206"/>
      <c r="BY433" s="206"/>
      <c r="BZ433" s="206"/>
      <c r="CA433" s="206"/>
      <c r="CB433" s="206"/>
      <c r="CC433" s="206"/>
      <c r="CD433" s="206"/>
      <c r="CE433" s="48"/>
      <c r="CF433" s="48"/>
      <c r="CG433" s="48"/>
      <c r="CH433" s="48"/>
      <c r="CI433" s="48"/>
      <c r="CJ433" s="48"/>
      <c r="CK433" s="48"/>
      <c r="CL433" s="48"/>
      <c r="CM433" s="48"/>
      <c r="CN433" s="48"/>
      <c r="CO433" s="48"/>
      <c r="CP433" s="48"/>
      <c r="CQ433" s="48"/>
      <c r="CR433" s="48"/>
      <c r="CS433" s="48"/>
      <c r="CT433" s="48"/>
      <c r="CU433" s="48"/>
      <c r="CV433" s="48"/>
      <c r="CW433" s="206"/>
      <c r="CX433" s="206"/>
      <c r="CY433" s="206"/>
      <c r="CZ433" s="206"/>
      <c r="DA433" s="20"/>
      <c r="DB433" s="20"/>
      <c r="DC433" s="51"/>
      <c r="DD433" s="51"/>
      <c r="DE433" s="206"/>
      <c r="DF433" s="206"/>
      <c r="DG433" s="206"/>
      <c r="DH433" s="206"/>
      <c r="DI433" s="39"/>
      <c r="DJ433" s="206"/>
      <c r="DK433" s="206"/>
      <c r="DL433" s="206"/>
      <c r="DM433" s="48"/>
      <c r="DN433" s="39"/>
      <c r="DO433" s="39"/>
      <c r="DP433" s="39"/>
      <c r="DQ433" s="39"/>
      <c r="DR433" s="39"/>
      <c r="DS433" s="39"/>
      <c r="DT433" s="39"/>
      <c r="DU433" s="39"/>
      <c r="DV433" s="48"/>
      <c r="DW433" s="48"/>
      <c r="DX433" s="21"/>
      <c r="DY433" s="20"/>
      <c r="DZ433" s="46"/>
      <c r="EA433" s="46"/>
      <c r="EB433" s="46"/>
      <c r="EC433" s="39"/>
      <c r="ED433" s="39"/>
      <c r="EE433" s="39"/>
      <c r="EF433" s="39"/>
      <c r="EG433" s="39"/>
      <c r="EH433" s="39"/>
      <c r="EI433" s="39"/>
      <c r="EJ433" s="22"/>
      <c r="EK433" s="39"/>
      <c r="EL433" s="19" t="e">
        <f t="shared" si="1684"/>
        <v>#REF!</v>
      </c>
      <c r="EM433" s="19" t="e">
        <f t="shared" si="1684"/>
        <v>#REF!</v>
      </c>
      <c r="EN433" s="21" t="e">
        <f t="shared" si="1684"/>
        <v>#REF!</v>
      </c>
      <c r="EO433" s="21" t="e">
        <f t="shared" si="1684"/>
        <v>#REF!</v>
      </c>
      <c r="EP433" s="21"/>
      <c r="EQ433" s="21" t="e">
        <f t="shared" si="1623"/>
        <v>#REF!</v>
      </c>
      <c r="ER433" s="21"/>
      <c r="ES433" s="21"/>
      <c r="ET433" s="21"/>
      <c r="EU433" s="21"/>
      <c r="EV433" s="21"/>
      <c r="EW433" s="39"/>
      <c r="EX433" s="39"/>
      <c r="EY433" s="39"/>
      <c r="EZ433" s="39"/>
      <c r="FA433" s="39"/>
      <c r="FB433" s="39"/>
      <c r="FC433" s="39"/>
      <c r="FD433" s="39"/>
      <c r="FE433" s="39"/>
      <c r="FF433" s="39"/>
      <c r="FG433" s="39"/>
      <c r="FH433" s="39"/>
      <c r="FI433" s="39"/>
      <c r="FJ433" s="46"/>
      <c r="FK433" s="46"/>
      <c r="FL433" s="46"/>
      <c r="FM433" s="46"/>
      <c r="FN433" s="46"/>
      <c r="FO433" s="39">
        <f t="shared" si="1624"/>
        <v>0</v>
      </c>
      <c r="FP433" s="39"/>
      <c r="FQ433" s="39"/>
      <c r="FR433" s="39">
        <f t="shared" si="1625"/>
        <v>0</v>
      </c>
      <c r="FS433" s="39"/>
      <c r="FT433" s="22"/>
      <c r="FU433" s="22"/>
      <c r="FV433" s="19" t="e">
        <f t="shared" si="1685"/>
        <v>#REF!</v>
      </c>
      <c r="FW433" s="19" t="e">
        <f t="shared" si="1686"/>
        <v>#REF!</v>
      </c>
      <c r="FX433" s="39"/>
      <c r="FY433" s="19" t="e">
        <f t="shared" si="1630"/>
        <v>#REF!</v>
      </c>
      <c r="FZ433" s="39"/>
      <c r="GA433" s="39"/>
      <c r="GB433" s="39"/>
      <c r="GC433" s="20">
        <f t="shared" si="1687"/>
        <v>0</v>
      </c>
      <c r="GD433" s="21">
        <f t="shared" si="1669"/>
        <v>0</v>
      </c>
      <c r="GE433" s="21"/>
      <c r="GF433" s="21"/>
      <c r="GG433" s="21"/>
      <c r="GH433" s="21"/>
      <c r="GI433" s="21"/>
      <c r="GJ433" s="21"/>
      <c r="GK433" s="21"/>
      <c r="GL433" s="21"/>
      <c r="GM433" s="46"/>
      <c r="GN433" s="46"/>
      <c r="GO433" s="39">
        <f t="shared" si="1692"/>
        <v>0</v>
      </c>
      <c r="GP433" s="39"/>
      <c r="GQ433" s="39"/>
      <c r="GR433" s="39">
        <f t="shared" si="1688"/>
        <v>0</v>
      </c>
      <c r="GS433" s="39"/>
      <c r="GT433" s="22"/>
      <c r="GU433" s="169"/>
      <c r="GV433" s="19"/>
      <c r="GW433" s="19"/>
      <c r="GX433" s="19"/>
      <c r="GY433" s="19"/>
      <c r="GZ433" s="19"/>
      <c r="HA433" s="39">
        <f t="shared" si="1689"/>
        <v>0</v>
      </c>
      <c r="HB433" s="39"/>
      <c r="HC433" s="39"/>
      <c r="HD433" s="39">
        <f t="shared" si="1690"/>
        <v>0</v>
      </c>
      <c r="HE433" s="39"/>
      <c r="HF433" s="207"/>
      <c r="HG433" s="169"/>
    </row>
    <row r="434" spans="2:215" ht="16.149999999999999" hidden="1" customHeight="1" thickBot="1">
      <c r="B434" s="10"/>
      <c r="C434" s="199" t="s">
        <v>148</v>
      </c>
      <c r="D434" s="206"/>
      <c r="E434" s="206"/>
      <c r="F434" s="206"/>
      <c r="G434" s="206"/>
      <c r="H434" s="206"/>
      <c r="I434" s="206"/>
      <c r="J434" s="206"/>
      <c r="K434" s="206"/>
      <c r="L434" s="206"/>
      <c r="M434" s="206"/>
      <c r="N434" s="206"/>
      <c r="O434" s="206"/>
      <c r="P434" s="206"/>
      <c r="Q434" s="206"/>
      <c r="R434" s="206"/>
      <c r="S434" s="206"/>
      <c r="T434" s="206"/>
      <c r="U434" s="206"/>
      <c r="V434" s="39"/>
      <c r="W434" s="39"/>
      <c r="X434" s="22"/>
      <c r="Y434" s="39"/>
      <c r="Z434" s="79"/>
      <c r="AA434" s="39"/>
      <c r="AB434" s="79"/>
      <c r="AC434" s="19"/>
      <c r="AD434" s="19"/>
      <c r="AE434" s="50"/>
      <c r="AF434" s="19"/>
      <c r="AG434" s="19"/>
      <c r="AH434" s="39"/>
      <c r="AI434" s="39"/>
      <c r="AJ434" s="39"/>
      <c r="AK434" s="39"/>
      <c r="AL434" s="22"/>
      <c r="AM434" s="39"/>
      <c r="AN434" s="39"/>
      <c r="AO434" s="39"/>
      <c r="AP434" s="39"/>
      <c r="AQ434" s="39"/>
      <c r="AR434" s="39"/>
      <c r="AS434" s="50"/>
      <c r="AT434" s="39"/>
      <c r="AU434" s="39"/>
      <c r="AV434" s="77"/>
      <c r="AW434" s="77"/>
      <c r="AX434" s="78"/>
      <c r="AY434" s="78"/>
      <c r="AZ434" s="78"/>
      <c r="BA434" s="78"/>
      <c r="BB434" s="78"/>
      <c r="BC434" s="39"/>
      <c r="BD434" s="39"/>
      <c r="BE434" s="22"/>
      <c r="BF434" s="39"/>
      <c r="BG434" s="39"/>
      <c r="BH434" s="22"/>
      <c r="BI434" s="22"/>
      <c r="BJ434" s="40"/>
      <c r="BK434" s="206"/>
      <c r="BL434" s="206"/>
      <c r="BM434" s="206"/>
      <c r="BN434" s="206"/>
      <c r="BO434" s="206"/>
      <c r="BP434" s="206"/>
      <c r="BQ434" s="206"/>
      <c r="BR434" s="206"/>
      <c r="BS434" s="206"/>
      <c r="BT434" s="206"/>
      <c r="BU434" s="206"/>
      <c r="BV434" s="206"/>
      <c r="BW434" s="206"/>
      <c r="BX434" s="206"/>
      <c r="BY434" s="206"/>
      <c r="BZ434" s="206"/>
      <c r="CA434" s="206"/>
      <c r="CB434" s="206"/>
      <c r="CC434" s="206"/>
      <c r="CD434" s="206"/>
      <c r="CE434" s="48"/>
      <c r="CF434" s="48"/>
      <c r="CG434" s="48"/>
      <c r="CH434" s="48"/>
      <c r="CI434" s="48"/>
      <c r="CJ434" s="48"/>
      <c r="CK434" s="48"/>
      <c r="CL434" s="48"/>
      <c r="CM434" s="48"/>
      <c r="CN434" s="48"/>
      <c r="CO434" s="48"/>
      <c r="CP434" s="48"/>
      <c r="CQ434" s="48"/>
      <c r="CR434" s="48"/>
      <c r="CS434" s="48"/>
      <c r="CT434" s="48"/>
      <c r="CU434" s="48"/>
      <c r="CV434" s="48"/>
      <c r="CW434" s="206"/>
      <c r="CX434" s="206"/>
      <c r="CY434" s="206"/>
      <c r="CZ434" s="206"/>
      <c r="DA434" s="20"/>
      <c r="DB434" s="20"/>
      <c r="DC434" s="51"/>
      <c r="DD434" s="51"/>
      <c r="DE434" s="206"/>
      <c r="DF434" s="206"/>
      <c r="DG434" s="206"/>
      <c r="DH434" s="206"/>
      <c r="DI434" s="39"/>
      <c r="DJ434" s="206"/>
      <c r="DK434" s="206"/>
      <c r="DL434" s="206"/>
      <c r="DM434" s="48"/>
      <c r="DN434" s="39"/>
      <c r="DO434" s="39"/>
      <c r="DP434" s="39"/>
      <c r="DQ434" s="39"/>
      <c r="DR434" s="39"/>
      <c r="DS434" s="39"/>
      <c r="DT434" s="39"/>
      <c r="DU434" s="39"/>
      <c r="DV434" s="48"/>
      <c r="DW434" s="48"/>
      <c r="DX434" s="21"/>
      <c r="DY434" s="20"/>
      <c r="DZ434" s="46"/>
      <c r="EA434" s="46"/>
      <c r="EB434" s="46"/>
      <c r="EC434" s="39"/>
      <c r="ED434" s="39"/>
      <c r="EE434" s="39"/>
      <c r="EF434" s="39"/>
      <c r="EG434" s="39"/>
      <c r="EH434" s="39"/>
      <c r="EI434" s="39"/>
      <c r="EJ434" s="22"/>
      <c r="EK434" s="39"/>
      <c r="EL434" s="19" t="e">
        <f t="shared" si="1684"/>
        <v>#REF!</v>
      </c>
      <c r="EM434" s="19" t="e">
        <f t="shared" si="1684"/>
        <v>#REF!</v>
      </c>
      <c r="EN434" s="21" t="e">
        <f t="shared" si="1684"/>
        <v>#REF!</v>
      </c>
      <c r="EO434" s="21" t="e">
        <f t="shared" si="1684"/>
        <v>#REF!</v>
      </c>
      <c r="EP434" s="21"/>
      <c r="EQ434" s="21" t="e">
        <f t="shared" si="1623"/>
        <v>#REF!</v>
      </c>
      <c r="ER434" s="21"/>
      <c r="ES434" s="21"/>
      <c r="ET434" s="21"/>
      <c r="EU434" s="21"/>
      <c r="EV434" s="21"/>
      <c r="EW434" s="39"/>
      <c r="EX434" s="39"/>
      <c r="EY434" s="39"/>
      <c r="EZ434" s="39"/>
      <c r="FA434" s="39"/>
      <c r="FB434" s="39"/>
      <c r="FC434" s="39"/>
      <c r="FD434" s="39"/>
      <c r="FE434" s="39"/>
      <c r="FF434" s="39"/>
      <c r="FG434" s="39"/>
      <c r="FH434" s="39"/>
      <c r="FI434" s="39"/>
      <c r="FJ434" s="46"/>
      <c r="FK434" s="46"/>
      <c r="FL434" s="46"/>
      <c r="FM434" s="46"/>
      <c r="FN434" s="46"/>
      <c r="FO434" s="39">
        <f t="shared" si="1624"/>
        <v>0</v>
      </c>
      <c r="FP434" s="39"/>
      <c r="FQ434" s="39"/>
      <c r="FR434" s="39">
        <f t="shared" si="1625"/>
        <v>0</v>
      </c>
      <c r="FS434" s="39"/>
      <c r="FT434" s="22"/>
      <c r="FU434" s="22"/>
      <c r="FV434" s="19" t="e">
        <f t="shared" si="1685"/>
        <v>#REF!</v>
      </c>
      <c r="FW434" s="19" t="e">
        <f t="shared" si="1686"/>
        <v>#REF!</v>
      </c>
      <c r="FX434" s="39"/>
      <c r="FY434" s="19" t="e">
        <f t="shared" si="1630"/>
        <v>#REF!</v>
      </c>
      <c r="FZ434" s="39"/>
      <c r="GA434" s="39"/>
      <c r="GB434" s="39"/>
      <c r="GC434" s="20">
        <f t="shared" si="1687"/>
        <v>0</v>
      </c>
      <c r="GD434" s="21">
        <f t="shared" si="1669"/>
        <v>0</v>
      </c>
      <c r="GE434" s="21"/>
      <c r="GF434" s="21"/>
      <c r="GG434" s="21"/>
      <c r="GH434" s="21"/>
      <c r="GI434" s="21"/>
      <c r="GJ434" s="21"/>
      <c r="GK434" s="21"/>
      <c r="GL434" s="21"/>
      <c r="GM434" s="46"/>
      <c r="GN434" s="46"/>
      <c r="GO434" s="39">
        <f t="shared" si="1692"/>
        <v>0</v>
      </c>
      <c r="GP434" s="39"/>
      <c r="GQ434" s="39"/>
      <c r="GR434" s="39">
        <f t="shared" si="1688"/>
        <v>0</v>
      </c>
      <c r="GS434" s="39"/>
      <c r="GT434" s="22"/>
      <c r="GU434" s="169"/>
      <c r="GV434" s="19"/>
      <c r="GW434" s="19"/>
      <c r="GX434" s="19"/>
      <c r="GY434" s="19"/>
      <c r="GZ434" s="19"/>
      <c r="HA434" s="39">
        <f t="shared" si="1689"/>
        <v>0</v>
      </c>
      <c r="HB434" s="39"/>
      <c r="HC434" s="39"/>
      <c r="HD434" s="39">
        <f t="shared" si="1690"/>
        <v>0</v>
      </c>
      <c r="HE434" s="39"/>
      <c r="HF434" s="207"/>
      <c r="HG434" s="169"/>
    </row>
    <row r="435" spans="2:215" ht="16.149999999999999" hidden="1" customHeight="1" thickBot="1">
      <c r="B435" s="10"/>
      <c r="C435" s="199" t="s">
        <v>148</v>
      </c>
      <c r="D435" s="206"/>
      <c r="E435" s="206"/>
      <c r="F435" s="206"/>
      <c r="G435" s="206"/>
      <c r="H435" s="206"/>
      <c r="I435" s="206"/>
      <c r="J435" s="206"/>
      <c r="K435" s="206"/>
      <c r="L435" s="206"/>
      <c r="M435" s="206" t="e">
        <f t="shared" ref="M435:AB435" si="1693">+M423+M400</f>
        <v>#REF!</v>
      </c>
      <c r="N435" s="206" t="e">
        <f t="shared" si="1693"/>
        <v>#REF!</v>
      </c>
      <c r="O435" s="206" t="e">
        <f t="shared" si="1693"/>
        <v>#REF!</v>
      </c>
      <c r="P435" s="206" t="e">
        <f t="shared" si="1693"/>
        <v>#REF!</v>
      </c>
      <c r="Q435" s="206" t="e">
        <f t="shared" si="1693"/>
        <v>#REF!</v>
      </c>
      <c r="R435" s="206" t="e">
        <f t="shared" si="1693"/>
        <v>#REF!</v>
      </c>
      <c r="S435" s="206" t="e">
        <f t="shared" si="1693"/>
        <v>#REF!</v>
      </c>
      <c r="T435" s="206" t="e">
        <f t="shared" si="1693"/>
        <v>#REF!</v>
      </c>
      <c r="U435" s="206" t="e">
        <f t="shared" si="1693"/>
        <v>#REF!</v>
      </c>
      <c r="V435" s="206">
        <f t="shared" si="1693"/>
        <v>10.67</v>
      </c>
      <c r="W435" s="206">
        <f t="shared" si="1693"/>
        <v>10.67</v>
      </c>
      <c r="X435" s="206">
        <f t="shared" si="1693"/>
        <v>100</v>
      </c>
      <c r="Y435" s="206">
        <f t="shared" si="1693"/>
        <v>11.3</v>
      </c>
      <c r="Z435" s="206">
        <f t="shared" si="1693"/>
        <v>105.90440487347705</v>
      </c>
      <c r="AA435" s="206">
        <f t="shared" si="1693"/>
        <v>11.92</v>
      </c>
      <c r="AB435" s="206">
        <f t="shared" si="1693"/>
        <v>105.4867256637168</v>
      </c>
      <c r="AC435" s="19"/>
      <c r="AD435" s="19"/>
      <c r="AE435" s="50"/>
      <c r="AF435" s="19"/>
      <c r="AG435" s="19"/>
      <c r="AH435" s="39"/>
      <c r="AI435" s="39"/>
      <c r="AJ435" s="39"/>
      <c r="AK435" s="39"/>
      <c r="AL435" s="22"/>
      <c r="AM435" s="39"/>
      <c r="AN435" s="39"/>
      <c r="AO435" s="39"/>
      <c r="AP435" s="39"/>
      <c r="AQ435" s="39"/>
      <c r="AR435" s="39"/>
      <c r="AS435" s="50"/>
      <c r="AT435" s="39"/>
      <c r="AU435" s="39"/>
      <c r="AV435" s="77"/>
      <c r="AW435" s="77"/>
      <c r="AX435" s="78"/>
      <c r="AY435" s="78"/>
      <c r="AZ435" s="78"/>
      <c r="BA435" s="78"/>
      <c r="BB435" s="78"/>
      <c r="BC435" s="39"/>
      <c r="BD435" s="39"/>
      <c r="BE435" s="22"/>
      <c r="BF435" s="39"/>
      <c r="BG435" s="39"/>
      <c r="BH435" s="22"/>
      <c r="BI435" s="22"/>
      <c r="BJ435" s="40"/>
      <c r="BK435" s="206"/>
      <c r="BL435" s="206"/>
      <c r="BM435" s="206"/>
      <c r="BN435" s="206"/>
      <c r="BO435" s="206"/>
      <c r="BP435" s="206"/>
      <c r="BQ435" s="206"/>
      <c r="BR435" s="206"/>
      <c r="BS435" s="206"/>
      <c r="BT435" s="206"/>
      <c r="BU435" s="206"/>
      <c r="BV435" s="206"/>
      <c r="BW435" s="206" t="e">
        <f t="shared" ref="BW435:CD435" si="1694">+BW423+BW400</f>
        <v>#REF!</v>
      </c>
      <c r="BX435" s="206" t="e">
        <f t="shared" si="1694"/>
        <v>#REF!</v>
      </c>
      <c r="BY435" s="206" t="e">
        <f t="shared" si="1694"/>
        <v>#REF!</v>
      </c>
      <c r="BZ435" s="206" t="e">
        <f t="shared" si="1694"/>
        <v>#REF!</v>
      </c>
      <c r="CA435" s="206" t="e">
        <f t="shared" si="1694"/>
        <v>#REF!</v>
      </c>
      <c r="CB435" s="206" t="e">
        <f t="shared" si="1694"/>
        <v>#REF!</v>
      </c>
      <c r="CC435" s="206" t="e">
        <f t="shared" si="1694"/>
        <v>#REF!</v>
      </c>
      <c r="CD435" s="206" t="e">
        <f t="shared" si="1694"/>
        <v>#REF!</v>
      </c>
      <c r="CE435" s="48"/>
      <c r="CF435" s="48"/>
      <c r="CG435" s="48"/>
      <c r="CH435" s="48"/>
      <c r="CI435" s="48"/>
      <c r="CJ435" s="48"/>
      <c r="CK435" s="48"/>
      <c r="CL435" s="48"/>
      <c r="CM435" s="48"/>
      <c r="CN435" s="48">
        <f t="shared" si="1677"/>
        <v>0</v>
      </c>
      <c r="CO435" s="48" t="e">
        <f t="shared" si="1618"/>
        <v>#REF!</v>
      </c>
      <c r="CP435" s="48" t="e">
        <f t="shared" si="1678"/>
        <v>#REF!</v>
      </c>
      <c r="CQ435" s="48" t="e">
        <f t="shared" si="1679"/>
        <v>#REF!</v>
      </c>
      <c r="CR435" s="48" t="e">
        <f t="shared" si="1620"/>
        <v>#REF!</v>
      </c>
      <c r="CS435" s="48" t="e">
        <f t="shared" si="1680"/>
        <v>#REF!</v>
      </c>
      <c r="CT435" s="48" t="e">
        <f t="shared" si="1681"/>
        <v>#REF!</v>
      </c>
      <c r="CU435" s="48" t="e">
        <f t="shared" si="1682"/>
        <v>#REF!</v>
      </c>
      <c r="CV435" s="48">
        <f t="shared" si="1691"/>
        <v>0</v>
      </c>
      <c r="CW435" s="206" t="e">
        <f>+CW423+CW400</f>
        <v>#REF!</v>
      </c>
      <c r="CX435" s="206" t="e">
        <f>+CX423+CX400</f>
        <v>#REF!</v>
      </c>
      <c r="CY435" s="206" t="e">
        <f>+CY423+CY400</f>
        <v>#REF!</v>
      </c>
      <c r="CZ435" s="206" t="e">
        <f>+CZ423+CZ400</f>
        <v>#REF!</v>
      </c>
      <c r="DA435" s="20"/>
      <c r="DB435" s="20"/>
      <c r="DC435" s="51"/>
      <c r="DD435" s="51"/>
      <c r="DE435" s="206" t="e">
        <f>+DE423+DE400</f>
        <v>#REF!</v>
      </c>
      <c r="DF435" s="206" t="e">
        <f>+DF423+DF400</f>
        <v>#REF!</v>
      </c>
      <c r="DG435" s="206" t="e">
        <f>+DG423+DG400</f>
        <v>#REF!</v>
      </c>
      <c r="DH435" s="206" t="e">
        <f>+DH423+DH400</f>
        <v>#REF!</v>
      </c>
      <c r="DI435" s="39"/>
      <c r="DJ435" s="206"/>
      <c r="DK435" s="206"/>
      <c r="DL435" s="206"/>
      <c r="DM435" s="48"/>
      <c r="DN435" s="39"/>
      <c r="DO435" s="39"/>
      <c r="DP435" s="39"/>
      <c r="DQ435" s="39"/>
      <c r="DR435" s="39"/>
      <c r="DS435" s="39"/>
      <c r="DT435" s="39"/>
      <c r="DU435" s="39"/>
      <c r="DV435" s="48" t="e">
        <f>+DV423</f>
        <v>#REF!</v>
      </c>
      <c r="DW435" s="48" t="e">
        <f>+DW423</f>
        <v>#REF!</v>
      </c>
      <c r="DX435" s="21">
        <f>+'[1]тарифы (НВВ) население на 4,2%'!CO563</f>
        <v>81.055978515807041</v>
      </c>
      <c r="DY435" s="20" t="e">
        <f>+IF(DW435=0,,DV435/DW435*100)</f>
        <v>#REF!</v>
      </c>
      <c r="DZ435" s="46"/>
      <c r="EA435" s="46"/>
      <c r="EB435" s="46"/>
      <c r="EC435" s="39"/>
      <c r="ED435" s="39"/>
      <c r="EE435" s="39"/>
      <c r="EF435" s="39"/>
      <c r="EG435" s="39"/>
      <c r="EH435" s="39"/>
      <c r="EI435" s="39"/>
      <c r="EJ435" s="22">
        <f t="shared" si="1662"/>
        <v>0</v>
      </c>
      <c r="EK435" s="39"/>
      <c r="EL435" s="19" t="e">
        <f t="shared" si="1684"/>
        <v>#REF!</v>
      </c>
      <c r="EM435" s="19" t="e">
        <f t="shared" si="1684"/>
        <v>#REF!</v>
      </c>
      <c r="EN435" s="21" t="e">
        <f t="shared" si="1684"/>
        <v>#REF!</v>
      </c>
      <c r="EO435" s="21" t="e">
        <f t="shared" si="1684"/>
        <v>#REF!</v>
      </c>
      <c r="EP435" s="21"/>
      <c r="EQ435" s="21" t="e">
        <f t="shared" si="1623"/>
        <v>#REF!</v>
      </c>
      <c r="ER435" s="21"/>
      <c r="ES435" s="21"/>
      <c r="ET435" s="21"/>
      <c r="EU435" s="21"/>
      <c r="EV435" s="21"/>
      <c r="EW435" s="39"/>
      <c r="EX435" s="39"/>
      <c r="EY435" s="39"/>
      <c r="EZ435" s="39"/>
      <c r="FA435" s="39"/>
      <c r="FB435" s="39"/>
      <c r="FC435" s="39"/>
      <c r="FD435" s="39"/>
      <c r="FE435" s="39"/>
      <c r="FF435" s="39"/>
      <c r="FG435" s="39"/>
      <c r="FH435" s="39"/>
      <c r="FI435" s="39"/>
      <c r="FJ435" s="46"/>
      <c r="FK435" s="46"/>
      <c r="FL435" s="46"/>
      <c r="FM435" s="46"/>
      <c r="FN435" s="46"/>
      <c r="FO435" s="39">
        <f t="shared" si="1624"/>
        <v>0</v>
      </c>
      <c r="FP435" s="39"/>
      <c r="FQ435" s="39"/>
      <c r="FR435" s="39">
        <f t="shared" si="1625"/>
        <v>0</v>
      </c>
      <c r="FS435" s="39"/>
      <c r="FT435" s="22"/>
      <c r="FU435" s="22"/>
      <c r="FV435" s="19" t="e">
        <f t="shared" si="1685"/>
        <v>#REF!</v>
      </c>
      <c r="FW435" s="19" t="e">
        <f t="shared" si="1686"/>
        <v>#REF!</v>
      </c>
      <c r="FX435" s="39"/>
      <c r="FY435" s="19" t="e">
        <f t="shared" si="1630"/>
        <v>#REF!</v>
      </c>
      <c r="FZ435" s="39"/>
      <c r="GA435" s="39"/>
      <c r="GB435" s="39"/>
      <c r="GC435" s="20">
        <f t="shared" si="1687"/>
        <v>0</v>
      </c>
      <c r="GD435" s="21">
        <f t="shared" si="1669"/>
        <v>0</v>
      </c>
      <c r="GE435" s="21"/>
      <c r="GF435" s="21"/>
      <c r="GG435" s="21"/>
      <c r="GH435" s="21"/>
      <c r="GI435" s="21"/>
      <c r="GJ435" s="21"/>
      <c r="GK435" s="21"/>
      <c r="GL435" s="21"/>
      <c r="GM435" s="46"/>
      <c r="GN435" s="46"/>
      <c r="GO435" s="39">
        <f t="shared" si="1692"/>
        <v>0</v>
      </c>
      <c r="GP435" s="39"/>
      <c r="GQ435" s="39"/>
      <c r="GR435" s="39">
        <f t="shared" si="1688"/>
        <v>0</v>
      </c>
      <c r="GS435" s="39"/>
      <c r="GT435" s="22"/>
      <c r="GU435" s="169"/>
      <c r="GV435" s="19"/>
      <c r="GW435" s="19"/>
      <c r="GX435" s="19"/>
      <c r="GY435" s="19"/>
      <c r="GZ435" s="19"/>
      <c r="HA435" s="39">
        <f t="shared" si="1689"/>
        <v>0</v>
      </c>
      <c r="HB435" s="39"/>
      <c r="HC435" s="39"/>
      <c r="HD435" s="39">
        <f t="shared" si="1690"/>
        <v>0</v>
      </c>
      <c r="HE435" s="39"/>
      <c r="HF435" s="207"/>
      <c r="HG435" s="169"/>
    </row>
    <row r="436" spans="2:215" ht="16.149999999999999" hidden="1" customHeight="1" thickBot="1">
      <c r="B436" s="10"/>
      <c r="C436" s="199" t="s">
        <v>148</v>
      </c>
      <c r="D436" s="206" t="e">
        <f>+D55+#REF!+#REF!+#REF!+#REF!+D400+D424</f>
        <v>#REF!</v>
      </c>
      <c r="E436" s="206" t="e">
        <f>+E55+#REF!+#REF!+#REF!+#REF!+E400+E424</f>
        <v>#REF!</v>
      </c>
      <c r="F436" s="206" t="e">
        <f>+F55+#REF!+#REF!+#REF!+#REF!+F400+F424</f>
        <v>#REF!</v>
      </c>
      <c r="G436" s="206" t="e">
        <f>+G55+#REF!+#REF!+#REF!+#REF!+G400+G424</f>
        <v>#REF!</v>
      </c>
      <c r="H436" s="206" t="e">
        <f>+H55+#REF!+#REF!+#REF!+#REF!+H400+H424</f>
        <v>#REF!</v>
      </c>
      <c r="I436" s="206" t="e">
        <f>+I55+#REF!+#REF!+#REF!+#REF!+I400+I424</f>
        <v>#REF!</v>
      </c>
      <c r="J436" s="206" t="e">
        <f>+J55+#REF!+#REF!+#REF!+#REF!+J400+J424</f>
        <v>#REF!</v>
      </c>
      <c r="K436" s="206" t="e">
        <f>+K55+#REF!+#REF!+#REF!+#REF!+K400+K424</f>
        <v>#REF!</v>
      </c>
      <c r="L436" s="206" t="e">
        <f>+L55+#REF!+#REF!+#REF!+#REF!+L400+L424</f>
        <v>#REF!</v>
      </c>
      <c r="M436" s="206" t="e">
        <f>+M55+#REF!+#REF!+#REF!+#REF!+M400+M424</f>
        <v>#REF!</v>
      </c>
      <c r="N436" s="206" t="e">
        <f>+N55+#REF!+#REF!+#REF!+#REF!+N400+N424</f>
        <v>#REF!</v>
      </c>
      <c r="O436" s="206" t="e">
        <f>+O55+#REF!+#REF!+#REF!+#REF!+O400+O424</f>
        <v>#REF!</v>
      </c>
      <c r="P436" s="206" t="e">
        <f>+P55+#REF!+#REF!+#REF!+#REF!+P400+P424</f>
        <v>#REF!</v>
      </c>
      <c r="Q436" s="206" t="e">
        <f>+Q55+#REF!+#REF!+#REF!+#REF!+Q400+Q424</f>
        <v>#REF!</v>
      </c>
      <c r="R436" s="206" t="e">
        <f>+R55+#REF!+#REF!+#REF!+#REF!+R400+R424</f>
        <v>#REF!</v>
      </c>
      <c r="S436" s="206" t="e">
        <f>+S55+#REF!+#REF!+#REF!+#REF!+S400+S424</f>
        <v>#REF!</v>
      </c>
      <c r="T436" s="206" t="e">
        <f>+T55+#REF!+#REF!+#REF!+#REF!+T400+T424</f>
        <v>#REF!</v>
      </c>
      <c r="U436" s="206" t="e">
        <f>+U55+#REF!+#REF!+#REF!+#REF!+U400+U424</f>
        <v>#REF!</v>
      </c>
      <c r="V436" s="39"/>
      <c r="W436" s="39"/>
      <c r="X436" s="22" t="e">
        <f>+BK436/D436*1000</f>
        <v>#REF!</v>
      </c>
      <c r="Y436" s="39"/>
      <c r="Z436" s="79" t="e">
        <f>+BO436/D436*1000</f>
        <v>#REF!</v>
      </c>
      <c r="AA436" s="39"/>
      <c r="AB436" s="79" t="e">
        <f>+BS436/D436*1000</f>
        <v>#REF!</v>
      </c>
      <c r="AC436" s="19"/>
      <c r="AD436" s="19"/>
      <c r="AE436" s="50"/>
      <c r="AF436" s="19"/>
      <c r="AG436" s="19"/>
      <c r="AH436" s="39"/>
      <c r="AI436" s="39"/>
      <c r="AJ436" s="39"/>
      <c r="AK436" s="39"/>
      <c r="AL436" s="22"/>
      <c r="AM436" s="39"/>
      <c r="AN436" s="39"/>
      <c r="AO436" s="39"/>
      <c r="AP436" s="39"/>
      <c r="AQ436" s="39"/>
      <c r="AR436" s="39"/>
      <c r="AS436" s="50"/>
      <c r="AT436" s="39"/>
      <c r="AU436" s="39"/>
      <c r="AV436" s="77"/>
      <c r="AW436" s="77"/>
      <c r="AX436" s="78"/>
      <c r="AY436" s="78"/>
      <c r="AZ436" s="78"/>
      <c r="BA436" s="78"/>
      <c r="BB436" s="78"/>
      <c r="BC436" s="39"/>
      <c r="BD436" s="39"/>
      <c r="BE436" s="22"/>
      <c r="BF436" s="39"/>
      <c r="BG436" s="39"/>
      <c r="BH436" s="22"/>
      <c r="BI436" s="22"/>
      <c r="BJ436" s="40"/>
      <c r="BK436" s="206" t="e">
        <f>+BK55+#REF!+#REF!+#REF!+#REF!+BK400+BK424</f>
        <v>#REF!</v>
      </c>
      <c r="BL436" s="206" t="e">
        <f>+BL55+#REF!+#REF!+#REF!+#REF!+BL400+BL424</f>
        <v>#REF!</v>
      </c>
      <c r="BM436" s="206" t="e">
        <f>+BM55+#REF!+#REF!+#REF!+#REF!+BM400+BM424</f>
        <v>#REF!</v>
      </c>
      <c r="BN436" s="206" t="e">
        <f>+BN55+#REF!+#REF!+#REF!+#REF!+BN400+BN424</f>
        <v>#REF!</v>
      </c>
      <c r="BO436" s="206" t="e">
        <f>+BO55+#REF!+#REF!+#REF!+#REF!+BO400+BO424</f>
        <v>#REF!</v>
      </c>
      <c r="BP436" s="206" t="e">
        <f>+BP55+#REF!+#REF!+#REF!+#REF!+BP400+BP424</f>
        <v>#REF!</v>
      </c>
      <c r="BQ436" s="206" t="e">
        <f>+BQ55+#REF!+#REF!+#REF!+#REF!+BQ400+BQ424</f>
        <v>#REF!</v>
      </c>
      <c r="BR436" s="206" t="e">
        <f>+BR55+#REF!+#REF!+#REF!+#REF!+BR400+BR424</f>
        <v>#REF!</v>
      </c>
      <c r="BS436" s="206" t="e">
        <f>+BS55+#REF!+#REF!+#REF!+#REF!+BS400+BS424</f>
        <v>#REF!</v>
      </c>
      <c r="BT436" s="206" t="e">
        <f>+BT55+#REF!+#REF!+#REF!+#REF!+BT400+BT424</f>
        <v>#REF!</v>
      </c>
      <c r="BU436" s="206" t="e">
        <f>+BU55+#REF!+#REF!+#REF!+#REF!+BU400+BU424</f>
        <v>#REF!</v>
      </c>
      <c r="BV436" s="206" t="e">
        <f>+BV55+#REF!+#REF!+#REF!+#REF!+BV400+BV424</f>
        <v>#REF!</v>
      </c>
      <c r="BW436" s="206" t="e">
        <f>+BW55+#REF!+#REF!+#REF!+#REF!+BW400+BW424</f>
        <v>#REF!</v>
      </c>
      <c r="BX436" s="206" t="e">
        <f>+BX55+#REF!+#REF!+#REF!+#REF!+BX400+BX424</f>
        <v>#REF!</v>
      </c>
      <c r="BY436" s="206" t="e">
        <f>+BY55+#REF!+#REF!+#REF!+#REF!+BY400+BY424</f>
        <v>#REF!</v>
      </c>
      <c r="BZ436" s="206" t="e">
        <f>+BZ55+#REF!+#REF!+#REF!+#REF!+BZ400+BZ424</f>
        <v>#REF!</v>
      </c>
      <c r="CA436" s="206" t="e">
        <f>+CA55+#REF!+#REF!+#REF!+#REF!+CA400+CA424</f>
        <v>#REF!</v>
      </c>
      <c r="CB436" s="206" t="e">
        <f>+CB55+#REF!+#REF!+#REF!+#REF!+CB400+CB424</f>
        <v>#REF!</v>
      </c>
      <c r="CC436" s="206" t="e">
        <f>+CC55+#REF!+#REF!+#REF!+#REF!+CC400+CC424</f>
        <v>#REF!</v>
      </c>
      <c r="CD436" s="206" t="e">
        <f>+CD55+#REF!+#REF!+#REF!+#REF!+CD400+CD424</f>
        <v>#REF!</v>
      </c>
      <c r="CE436" s="48" t="e">
        <f t="shared" si="1673"/>
        <v>#REF!</v>
      </c>
      <c r="CF436" s="48" t="e">
        <f t="shared" si="1612"/>
        <v>#REF!</v>
      </c>
      <c r="CG436" s="48" t="e">
        <f t="shared" si="1613"/>
        <v>#REF!</v>
      </c>
      <c r="CH436" s="48" t="e">
        <f t="shared" si="1614"/>
        <v>#REF!</v>
      </c>
      <c r="CI436" s="48" t="e">
        <f t="shared" si="1615"/>
        <v>#REF!</v>
      </c>
      <c r="CJ436" s="48" t="e">
        <f t="shared" si="1616"/>
        <v>#REF!</v>
      </c>
      <c r="CK436" s="48" t="e">
        <f t="shared" si="1617"/>
        <v>#REF!</v>
      </c>
      <c r="CL436" s="48" t="e">
        <f t="shared" si="1644"/>
        <v>#REF!</v>
      </c>
      <c r="CM436" s="48" t="e">
        <f t="shared" si="1645"/>
        <v>#REF!</v>
      </c>
      <c r="CN436" s="48" t="e">
        <f t="shared" si="1677"/>
        <v>#REF!</v>
      </c>
      <c r="CO436" s="48" t="e">
        <f t="shared" si="1618"/>
        <v>#REF!</v>
      </c>
      <c r="CP436" s="48" t="e">
        <f t="shared" si="1678"/>
        <v>#REF!</v>
      </c>
      <c r="CQ436" s="48" t="e">
        <f t="shared" si="1679"/>
        <v>#REF!</v>
      </c>
      <c r="CR436" s="48" t="e">
        <f t="shared" si="1620"/>
        <v>#REF!</v>
      </c>
      <c r="CS436" s="48" t="e">
        <f t="shared" si="1680"/>
        <v>#REF!</v>
      </c>
      <c r="CT436" s="48" t="e">
        <f t="shared" si="1681"/>
        <v>#REF!</v>
      </c>
      <c r="CU436" s="48" t="e">
        <f t="shared" si="1682"/>
        <v>#REF!</v>
      </c>
      <c r="CV436" s="48" t="e">
        <f t="shared" si="1691"/>
        <v>#REF!</v>
      </c>
      <c r="CW436" s="206" t="e">
        <f>+CW55+#REF!+#REF!+#REF!+#REF!+CW400+CW424</f>
        <v>#REF!</v>
      </c>
      <c r="CX436" s="206" t="e">
        <f>+CX55+#REF!+#REF!+#REF!+#REF!+CX400+CX424</f>
        <v>#REF!</v>
      </c>
      <c r="CY436" s="206" t="e">
        <f>+CY55+#REF!+#REF!+#REF!+#REF!+CY400+CY424</f>
        <v>#REF!</v>
      </c>
      <c r="CZ436" s="206" t="e">
        <f>+CZ55+#REF!+#REF!+#REF!+#REF!+CZ400+CZ424</f>
        <v>#REF!</v>
      </c>
      <c r="DA436" s="20" t="e">
        <f t="shared" si="1683"/>
        <v>#REF!</v>
      </c>
      <c r="DB436" s="20" t="e">
        <f t="shared" si="1649"/>
        <v>#REF!</v>
      </c>
      <c r="DC436" s="51" t="e">
        <f t="shared" ref="DC436:DD438" si="1695">+IF(CW436=0,,CY436/CW436*100)</f>
        <v>#REF!</v>
      </c>
      <c r="DD436" s="51" t="e">
        <f t="shared" si="1695"/>
        <v>#REF!</v>
      </c>
      <c r="DE436" s="206" t="e">
        <f>+DE55+#REF!+#REF!+#REF!+#REF!+DE400+DE424</f>
        <v>#REF!</v>
      </c>
      <c r="DF436" s="206" t="e">
        <f>+DF55+#REF!+#REF!+#REF!+#REF!+DF400+DF424</f>
        <v>#REF!</v>
      </c>
      <c r="DG436" s="206" t="e">
        <f>+DG55+#REF!+#REF!+#REF!+#REF!+DG400+DG424</f>
        <v>#REF!</v>
      </c>
      <c r="DH436" s="206" t="e">
        <f>+DH55+#REF!+#REF!+#REF!+#REF!+DH400+DH424</f>
        <v>#REF!</v>
      </c>
      <c r="DI436" s="39"/>
      <c r="DJ436" s="206" t="e">
        <f>+DJ55+#REF!+#REF!+#REF!+#REF!+DJ400+DJ424</f>
        <v>#REF!</v>
      </c>
      <c r="DK436" s="206" t="e">
        <f>+DK55+#REF!+#REF!+#REF!+#REF!+DK400+DK424</f>
        <v>#REF!</v>
      </c>
      <c r="DL436" s="206" t="e">
        <f>+DL55+#REF!+#REF!+#REF!+#REF!+DL400+DL424</f>
        <v>#REF!</v>
      </c>
      <c r="DM436" s="48">
        <f>+AT436-'[2]тарифы (12-13) население 15%'!AP543</f>
        <v>0</v>
      </c>
      <c r="DN436" s="39"/>
      <c r="DO436" s="39"/>
      <c r="DP436" s="39"/>
      <c r="DQ436" s="39"/>
      <c r="DR436" s="39"/>
      <c r="DS436" s="39"/>
      <c r="DT436" s="39"/>
      <c r="DU436" s="39"/>
      <c r="DV436" s="48"/>
      <c r="DW436" s="48"/>
      <c r="DX436" s="46"/>
      <c r="DY436" s="20">
        <f>+IF(DW436=0,,DV436/DW436*100)</f>
        <v>0</v>
      </c>
      <c r="DZ436" s="46"/>
      <c r="EA436" s="46"/>
      <c r="EB436" s="46"/>
      <c r="EC436" s="39"/>
      <c r="ED436" s="39"/>
      <c r="EE436" s="39"/>
      <c r="EF436" s="39"/>
      <c r="EG436" s="39"/>
      <c r="EH436" s="39"/>
      <c r="EI436" s="39"/>
      <c r="EJ436" s="22">
        <f t="shared" si="1662"/>
        <v>0</v>
      </c>
      <c r="EK436" s="39"/>
      <c r="EL436" s="19" t="e">
        <f t="shared" si="1684"/>
        <v>#REF!</v>
      </c>
      <c r="EM436" s="19" t="e">
        <f t="shared" si="1684"/>
        <v>#REF!</v>
      </c>
      <c r="EN436" s="21" t="e">
        <f t="shared" si="1684"/>
        <v>#REF!</v>
      </c>
      <c r="EO436" s="21" t="e">
        <f t="shared" si="1684"/>
        <v>#REF!</v>
      </c>
      <c r="EP436" s="21"/>
      <c r="EQ436" s="21" t="e">
        <f t="shared" si="1623"/>
        <v>#REF!</v>
      </c>
      <c r="ER436" s="21"/>
      <c r="ES436" s="21"/>
      <c r="ET436" s="21"/>
      <c r="EU436" s="21"/>
      <c r="EV436" s="21"/>
      <c r="EW436" s="39"/>
      <c r="EX436" s="39"/>
      <c r="EY436" s="39"/>
      <c r="EZ436" s="39"/>
      <c r="FA436" s="39"/>
      <c r="FB436" s="39"/>
      <c r="FC436" s="39"/>
      <c r="FD436" s="39"/>
      <c r="FE436" s="39"/>
      <c r="FF436" s="39"/>
      <c r="FG436" s="39"/>
      <c r="FH436" s="39"/>
      <c r="FI436" s="39"/>
      <c r="FJ436" s="46"/>
      <c r="FK436" s="46"/>
      <c r="FL436" s="46"/>
      <c r="FM436" s="46"/>
      <c r="FN436" s="46"/>
      <c r="FO436" s="39">
        <f t="shared" si="1624"/>
        <v>0</v>
      </c>
      <c r="FP436" s="39"/>
      <c r="FQ436" s="39"/>
      <c r="FR436" s="39">
        <f t="shared" si="1625"/>
        <v>0</v>
      </c>
      <c r="FS436" s="39"/>
      <c r="FT436" s="22"/>
      <c r="FU436" s="22"/>
      <c r="FV436" s="19" t="e">
        <f t="shared" si="1685"/>
        <v>#REF!</v>
      </c>
      <c r="FW436" s="19" t="e">
        <f t="shared" si="1686"/>
        <v>#REF!</v>
      </c>
      <c r="FX436" s="39"/>
      <c r="FY436" s="19" t="e">
        <f t="shared" si="1630"/>
        <v>#REF!</v>
      </c>
      <c r="FZ436" s="39"/>
      <c r="GA436" s="39"/>
      <c r="GB436" s="39"/>
      <c r="GC436" s="20">
        <f t="shared" si="1687"/>
        <v>0</v>
      </c>
      <c r="GD436" s="21">
        <f t="shared" si="1669"/>
        <v>0</v>
      </c>
      <c r="GE436" s="21"/>
      <c r="GF436" s="21"/>
      <c r="GG436" s="21"/>
      <c r="GH436" s="21"/>
      <c r="GI436" s="21"/>
      <c r="GJ436" s="21"/>
      <c r="GK436" s="21"/>
      <c r="GL436" s="21"/>
      <c r="GM436" s="46"/>
      <c r="GN436" s="46"/>
      <c r="GO436" s="39">
        <f t="shared" si="1692"/>
        <v>0</v>
      </c>
      <c r="GP436" s="39"/>
      <c r="GQ436" s="39"/>
      <c r="GR436" s="39">
        <f t="shared" si="1688"/>
        <v>0</v>
      </c>
      <c r="GS436" s="39"/>
      <c r="GT436" s="22"/>
      <c r="GU436" s="169"/>
      <c r="GV436" s="19"/>
      <c r="GW436" s="19"/>
      <c r="GX436" s="19"/>
      <c r="GY436" s="19"/>
      <c r="GZ436" s="19"/>
      <c r="HA436" s="39">
        <f t="shared" si="1689"/>
        <v>0</v>
      </c>
      <c r="HB436" s="39"/>
      <c r="HC436" s="39"/>
      <c r="HD436" s="39">
        <f t="shared" si="1690"/>
        <v>0</v>
      </c>
      <c r="HE436" s="39"/>
      <c r="HF436" s="207"/>
      <c r="HG436" s="169"/>
    </row>
    <row r="437" spans="2:215" ht="16.149999999999999" hidden="1" customHeight="1">
      <c r="B437" s="11"/>
      <c r="C437" s="199" t="s">
        <v>148</v>
      </c>
      <c r="D437" s="206" t="e">
        <f>+#REF!+D395+D425</f>
        <v>#REF!</v>
      </c>
      <c r="E437" s="206" t="e">
        <f>+#REF!+E395+E425</f>
        <v>#REF!</v>
      </c>
      <c r="F437" s="206" t="e">
        <f>+#REF!+F395+F425</f>
        <v>#REF!</v>
      </c>
      <c r="G437" s="206" t="e">
        <f>+#REF!+G395+G425</f>
        <v>#REF!</v>
      </c>
      <c r="H437" s="206" t="e">
        <f>+#REF!+H395+H425</f>
        <v>#REF!</v>
      </c>
      <c r="I437" s="206" t="e">
        <f>+#REF!+I395+I425</f>
        <v>#REF!</v>
      </c>
      <c r="J437" s="206" t="e">
        <f>+#REF!+J395+J425</f>
        <v>#REF!</v>
      </c>
      <c r="K437" s="206" t="e">
        <f>+#REF!+K395+K425</f>
        <v>#REF!</v>
      </c>
      <c r="L437" s="206" t="e">
        <f>+#REF!+L395+L425</f>
        <v>#REF!</v>
      </c>
      <c r="M437" s="206" t="e">
        <f>+#REF!+M395+M425</f>
        <v>#REF!</v>
      </c>
      <c r="N437" s="206" t="e">
        <f>+#REF!+N395+N425</f>
        <v>#REF!</v>
      </c>
      <c r="O437" s="206" t="e">
        <f>+#REF!+O395+O425</f>
        <v>#REF!</v>
      </c>
      <c r="P437" s="206" t="e">
        <f>+#REF!+P395+P425</f>
        <v>#REF!</v>
      </c>
      <c r="Q437" s="206" t="e">
        <f>+#REF!+Q395+Q425</f>
        <v>#REF!</v>
      </c>
      <c r="R437" s="206" t="e">
        <f>+#REF!+R395+R425</f>
        <v>#REF!</v>
      </c>
      <c r="S437" s="206" t="e">
        <f>+#REF!+S395+S425</f>
        <v>#REF!</v>
      </c>
      <c r="T437" s="206" t="e">
        <f>+#REF!+T395+T425</f>
        <v>#REF!</v>
      </c>
      <c r="U437" s="206" t="e">
        <f>+#REF!+U395+U425</f>
        <v>#REF!</v>
      </c>
      <c r="V437" s="39"/>
      <c r="W437" s="39"/>
      <c r="X437" s="22" t="e">
        <f>+BK437/D437*1000</f>
        <v>#REF!</v>
      </c>
      <c r="Y437" s="39"/>
      <c r="Z437" s="79" t="e">
        <f>+BO437/D437*1000</f>
        <v>#REF!</v>
      </c>
      <c r="AA437" s="39"/>
      <c r="AB437" s="79" t="e">
        <f>+BS437/D437*1000</f>
        <v>#REF!</v>
      </c>
      <c r="AC437" s="19"/>
      <c r="AD437" s="19"/>
      <c r="AE437" s="50"/>
      <c r="AF437" s="19"/>
      <c r="AG437" s="19"/>
      <c r="AH437" s="39"/>
      <c r="AI437" s="39"/>
      <c r="AJ437" s="39"/>
      <c r="AK437" s="39"/>
      <c r="AL437" s="22"/>
      <c r="AM437" s="39"/>
      <c r="AN437" s="39"/>
      <c r="AO437" s="39"/>
      <c r="AP437" s="39"/>
      <c r="AQ437" s="39"/>
      <c r="AR437" s="39"/>
      <c r="AS437" s="50"/>
      <c r="AT437" s="39"/>
      <c r="AU437" s="39"/>
      <c r="AV437" s="77"/>
      <c r="AW437" s="77"/>
      <c r="AX437" s="78"/>
      <c r="AY437" s="78"/>
      <c r="AZ437" s="78"/>
      <c r="BA437" s="78"/>
      <c r="BB437" s="78"/>
      <c r="BC437" s="39"/>
      <c r="BD437" s="39"/>
      <c r="BE437" s="22"/>
      <c r="BF437" s="39"/>
      <c r="BG437" s="39"/>
      <c r="BH437" s="22"/>
      <c r="BI437" s="22"/>
      <c r="BJ437" s="40"/>
      <c r="BK437" s="206" t="e">
        <f>+#REF!+BK395+BK425</f>
        <v>#REF!</v>
      </c>
      <c r="BL437" s="206" t="e">
        <f>+#REF!+BL395+BL425</f>
        <v>#REF!</v>
      </c>
      <c r="BM437" s="206" t="e">
        <f>+#REF!+BM395+BM425</f>
        <v>#REF!</v>
      </c>
      <c r="BN437" s="206" t="e">
        <f>+#REF!+BN395+BN425</f>
        <v>#REF!</v>
      </c>
      <c r="BO437" s="206" t="e">
        <f>+#REF!+BO395+BO425</f>
        <v>#REF!</v>
      </c>
      <c r="BP437" s="206" t="e">
        <f>+#REF!+BP395+BP425</f>
        <v>#REF!</v>
      </c>
      <c r="BQ437" s="206" t="e">
        <f>+#REF!+BQ395+BQ425</f>
        <v>#REF!</v>
      </c>
      <c r="BR437" s="206" t="e">
        <f>+#REF!+BR395+BR425</f>
        <v>#REF!</v>
      </c>
      <c r="BS437" s="206" t="e">
        <f>+#REF!+BS395+BS425</f>
        <v>#REF!</v>
      </c>
      <c r="BT437" s="206" t="e">
        <f>+#REF!+BT395+BT425</f>
        <v>#REF!</v>
      </c>
      <c r="BU437" s="206" t="e">
        <f>+#REF!+BU395+BU425</f>
        <v>#REF!</v>
      </c>
      <c r="BV437" s="206" t="e">
        <f>+#REF!+BV395+BV425</f>
        <v>#REF!</v>
      </c>
      <c r="BW437" s="206" t="e">
        <f>+#REF!+BW395+BW425</f>
        <v>#REF!</v>
      </c>
      <c r="BX437" s="206" t="e">
        <f>+#REF!+BX395+BX425</f>
        <v>#REF!</v>
      </c>
      <c r="BY437" s="206" t="e">
        <f>+#REF!+BY395+BY425</f>
        <v>#REF!</v>
      </c>
      <c r="BZ437" s="206" t="e">
        <f>+#REF!+BZ395+BZ425</f>
        <v>#REF!</v>
      </c>
      <c r="CA437" s="206" t="e">
        <f>+#REF!+CA395+CA425</f>
        <v>#REF!</v>
      </c>
      <c r="CB437" s="206" t="e">
        <f>+#REF!+CB395+CB425</f>
        <v>#REF!</v>
      </c>
      <c r="CC437" s="206" t="e">
        <f>+#REF!+CC395+CC425</f>
        <v>#REF!</v>
      </c>
      <c r="CD437" s="206" t="e">
        <f>+#REF!+CD395+CD425</f>
        <v>#REF!</v>
      </c>
      <c r="CE437" s="48" t="e">
        <f t="shared" si="1673"/>
        <v>#REF!</v>
      </c>
      <c r="CF437" s="48" t="e">
        <f t="shared" si="1612"/>
        <v>#REF!</v>
      </c>
      <c r="CG437" s="48" t="e">
        <f t="shared" si="1613"/>
        <v>#REF!</v>
      </c>
      <c r="CH437" s="48" t="e">
        <f t="shared" si="1614"/>
        <v>#REF!</v>
      </c>
      <c r="CI437" s="48" t="e">
        <f t="shared" si="1615"/>
        <v>#REF!</v>
      </c>
      <c r="CJ437" s="48" t="e">
        <f t="shared" si="1616"/>
        <v>#REF!</v>
      </c>
      <c r="CK437" s="48" t="e">
        <f t="shared" si="1617"/>
        <v>#REF!</v>
      </c>
      <c r="CL437" s="48" t="e">
        <f t="shared" si="1644"/>
        <v>#REF!</v>
      </c>
      <c r="CM437" s="48" t="e">
        <f t="shared" si="1645"/>
        <v>#REF!</v>
      </c>
      <c r="CN437" s="48" t="e">
        <f t="shared" si="1677"/>
        <v>#REF!</v>
      </c>
      <c r="CO437" s="48" t="e">
        <f t="shared" si="1618"/>
        <v>#REF!</v>
      </c>
      <c r="CP437" s="48" t="e">
        <f t="shared" si="1678"/>
        <v>#REF!</v>
      </c>
      <c r="CQ437" s="48" t="e">
        <f t="shared" si="1679"/>
        <v>#REF!</v>
      </c>
      <c r="CR437" s="48" t="e">
        <f t="shared" si="1620"/>
        <v>#REF!</v>
      </c>
      <c r="CS437" s="48" t="e">
        <f t="shared" si="1680"/>
        <v>#REF!</v>
      </c>
      <c r="CT437" s="48" t="e">
        <f t="shared" si="1681"/>
        <v>#REF!</v>
      </c>
      <c r="CU437" s="48" t="e">
        <f t="shared" si="1682"/>
        <v>#REF!</v>
      </c>
      <c r="CV437" s="48" t="e">
        <f t="shared" si="1691"/>
        <v>#REF!</v>
      </c>
      <c r="CW437" s="206" t="e">
        <f>+#REF!+CW395+CW425</f>
        <v>#REF!</v>
      </c>
      <c r="CX437" s="206" t="e">
        <f>+#REF!+CX395+CX425</f>
        <v>#REF!</v>
      </c>
      <c r="CY437" s="206" t="e">
        <f>+#REF!+CY395+CY425</f>
        <v>#REF!</v>
      </c>
      <c r="CZ437" s="206" t="e">
        <f>+#REF!+CZ395+CZ425</f>
        <v>#REF!</v>
      </c>
      <c r="DA437" s="20" t="e">
        <f t="shared" si="1683"/>
        <v>#REF!</v>
      </c>
      <c r="DB437" s="20" t="e">
        <f t="shared" si="1649"/>
        <v>#REF!</v>
      </c>
      <c r="DC437" s="51" t="e">
        <f t="shared" si="1695"/>
        <v>#REF!</v>
      </c>
      <c r="DD437" s="51" t="e">
        <f t="shared" si="1695"/>
        <v>#REF!</v>
      </c>
      <c r="DE437" s="206" t="e">
        <f>+#REF!+DE395+DE425</f>
        <v>#REF!</v>
      </c>
      <c r="DF437" s="206" t="e">
        <f>+#REF!+DF395+DF425</f>
        <v>#REF!</v>
      </c>
      <c r="DG437" s="206" t="e">
        <f>+#REF!+DG395+DG425</f>
        <v>#REF!</v>
      </c>
      <c r="DH437" s="206" t="e">
        <f>+#REF!+DH395+DH425</f>
        <v>#REF!</v>
      </c>
      <c r="DI437" s="39"/>
      <c r="DJ437" s="206" t="e">
        <f>+#REF!+DJ395+DJ425</f>
        <v>#REF!</v>
      </c>
      <c r="DK437" s="206" t="e">
        <f>+#REF!+DK395+DK425</f>
        <v>#REF!</v>
      </c>
      <c r="DL437" s="206" t="e">
        <f>+#REF!+DL395+DL425</f>
        <v>#REF!</v>
      </c>
      <c r="DM437" s="48">
        <f>+AT437-'[2]тарифы (12-13) население 15%'!AP544</f>
        <v>0</v>
      </c>
      <c r="DN437" s="39"/>
      <c r="DO437" s="39"/>
      <c r="DP437" s="39"/>
      <c r="DQ437" s="39"/>
      <c r="DR437" s="39"/>
      <c r="DS437" s="39"/>
      <c r="DT437" s="39"/>
      <c r="DU437" s="39"/>
      <c r="DV437" s="166" t="e">
        <f>+DV425</f>
        <v>#REF!</v>
      </c>
      <c r="DW437" s="166" t="e">
        <f>+DW425</f>
        <v>#REF!</v>
      </c>
      <c r="DX437" s="46"/>
      <c r="DY437" s="20" t="e">
        <f t="shared" si="1671"/>
        <v>#REF!</v>
      </c>
      <c r="DZ437" s="46"/>
      <c r="EA437" s="46"/>
      <c r="EB437" s="46"/>
      <c r="EC437" s="39"/>
      <c r="ED437" s="39"/>
      <c r="EE437" s="39"/>
      <c r="EF437" s="39"/>
      <c r="EG437" s="39"/>
      <c r="EH437" s="39"/>
      <c r="EI437" s="39"/>
      <c r="EJ437" s="22">
        <f t="shared" si="1662"/>
        <v>0</v>
      </c>
      <c r="EK437" s="39"/>
      <c r="EL437" s="19" t="e">
        <f t="shared" si="1684"/>
        <v>#REF!</v>
      </c>
      <c r="EM437" s="19" t="e">
        <f t="shared" si="1684"/>
        <v>#REF!</v>
      </c>
      <c r="EN437" s="21" t="e">
        <f t="shared" si="1684"/>
        <v>#REF!</v>
      </c>
      <c r="EO437" s="21" t="e">
        <f t="shared" si="1684"/>
        <v>#REF!</v>
      </c>
      <c r="EP437" s="21"/>
      <c r="EQ437" s="21" t="e">
        <f t="shared" si="1623"/>
        <v>#REF!</v>
      </c>
      <c r="ER437" s="21"/>
      <c r="ES437" s="21"/>
      <c r="ET437" s="21"/>
      <c r="EU437" s="21"/>
      <c r="EV437" s="21"/>
      <c r="EW437" s="39"/>
      <c r="EX437" s="39"/>
      <c r="EY437" s="39"/>
      <c r="EZ437" s="39"/>
      <c r="FA437" s="39"/>
      <c r="FB437" s="39"/>
      <c r="FC437" s="39"/>
      <c r="FD437" s="39"/>
      <c r="FE437" s="39"/>
      <c r="FF437" s="39"/>
      <c r="FG437" s="39"/>
      <c r="FH437" s="39"/>
      <c r="FI437" s="39"/>
      <c r="FJ437" s="46"/>
      <c r="FK437" s="46"/>
      <c r="FL437" s="46"/>
      <c r="FM437" s="46"/>
      <c r="FN437" s="46"/>
      <c r="FO437" s="39">
        <f t="shared" si="1624"/>
        <v>0</v>
      </c>
      <c r="FP437" s="39"/>
      <c r="FQ437" s="39"/>
      <c r="FR437" s="39">
        <f t="shared" si="1625"/>
        <v>0</v>
      </c>
      <c r="FS437" s="39"/>
      <c r="FT437" s="22"/>
      <c r="FU437" s="22"/>
      <c r="FV437" s="19" t="e">
        <f t="shared" si="1685"/>
        <v>#REF!</v>
      </c>
      <c r="FW437" s="19" t="e">
        <f t="shared" si="1686"/>
        <v>#REF!</v>
      </c>
      <c r="FX437" s="39"/>
      <c r="FY437" s="19" t="e">
        <f t="shared" si="1630"/>
        <v>#REF!</v>
      </c>
      <c r="FZ437" s="39"/>
      <c r="GA437" s="39"/>
      <c r="GB437" s="39"/>
      <c r="GC437" s="20">
        <f t="shared" si="1687"/>
        <v>0</v>
      </c>
      <c r="GD437" s="21">
        <f t="shared" si="1669"/>
        <v>0</v>
      </c>
      <c r="GE437" s="21"/>
      <c r="GF437" s="21"/>
      <c r="GG437" s="21"/>
      <c r="GH437" s="21"/>
      <c r="GI437" s="21"/>
      <c r="GJ437" s="21"/>
      <c r="GK437" s="21"/>
      <c r="GL437" s="21"/>
      <c r="GM437" s="46"/>
      <c r="GN437" s="46"/>
      <c r="GO437" s="39">
        <f t="shared" si="1692"/>
        <v>0</v>
      </c>
      <c r="GP437" s="39"/>
      <c r="GQ437" s="39"/>
      <c r="GR437" s="39">
        <f t="shared" si="1688"/>
        <v>0</v>
      </c>
      <c r="GS437" s="39"/>
      <c r="GT437" s="22"/>
      <c r="GU437" s="169"/>
      <c r="GV437" s="19"/>
      <c r="GW437" s="19"/>
      <c r="GX437" s="19"/>
      <c r="GY437" s="19"/>
      <c r="GZ437" s="19"/>
      <c r="HA437" s="39">
        <f t="shared" si="1689"/>
        <v>0</v>
      </c>
      <c r="HB437" s="39"/>
      <c r="HC437" s="39"/>
      <c r="HD437" s="39">
        <f t="shared" si="1690"/>
        <v>0</v>
      </c>
      <c r="HE437" s="39"/>
      <c r="HF437" s="207"/>
      <c r="HG437" s="169"/>
    </row>
    <row r="438" spans="2:215" ht="19.149999999999999" hidden="1" customHeight="1">
      <c r="B438" s="229">
        <f>+IF(V438=0,,W438/V438*100)</f>
        <v>0</v>
      </c>
      <c r="C438" s="199" t="s">
        <v>148</v>
      </c>
      <c r="D438" s="52" t="e">
        <f>+#REF!+#REF!+#REF!+#REF!+#REF!+#REF!+#REF!+#REF!+#REF!+#REF!+#REF!+#REF!+#REF!+#REF!+#REF!+D241</f>
        <v>#REF!</v>
      </c>
      <c r="E438" s="52" t="e">
        <f>+#REF!+#REF!+#REF!+#REF!+#REF!+#REF!+#REF!+#REF!+#REF!+#REF!+#REF!+#REF!+#REF!+#REF!+#REF!+E241</f>
        <v>#REF!</v>
      </c>
      <c r="F438" s="52" t="e">
        <f>+#REF!+#REF!+#REF!+#REF!+#REF!+#REF!+#REF!+#REF!+#REF!+#REF!+#REF!+#REF!+#REF!+#REF!+#REF!+F241</f>
        <v>#REF!</v>
      </c>
      <c r="G438" s="52" t="e">
        <f>+#REF!+#REF!+#REF!+#REF!+#REF!+#REF!+#REF!+#REF!+#REF!+#REF!+#REF!+#REF!+#REF!+#REF!+#REF!+G241</f>
        <v>#REF!</v>
      </c>
      <c r="H438" s="52" t="e">
        <f>+#REF!+#REF!+#REF!+#REF!+#REF!+#REF!+#REF!+#REF!+#REF!+#REF!+#REF!+#REF!+#REF!+#REF!+#REF!+H241</f>
        <v>#REF!</v>
      </c>
      <c r="I438" s="52" t="e">
        <f>+#REF!+#REF!+#REF!+#REF!+#REF!+#REF!+#REF!+#REF!+#REF!+#REF!+#REF!+#REF!+#REF!+#REF!+#REF!+I241</f>
        <v>#REF!</v>
      </c>
      <c r="J438" s="52" t="e">
        <f>+#REF!+#REF!+#REF!+#REF!+#REF!+#REF!+#REF!+#REF!+#REF!+#REF!+#REF!+#REF!+#REF!+#REF!+#REF!+J241</f>
        <v>#REF!</v>
      </c>
      <c r="K438" s="52" t="e">
        <f>+#REF!+#REF!+#REF!+#REF!+#REF!+#REF!+#REF!+#REF!+#REF!+#REF!+#REF!+#REF!+#REF!+#REF!+#REF!+K241</f>
        <v>#REF!</v>
      </c>
      <c r="L438" s="52" t="e">
        <f>+#REF!+#REF!+#REF!+#REF!+#REF!+#REF!+#REF!+#REF!+#REF!+#REF!+#REF!+#REF!+#REF!+#REF!+#REF!+L241</f>
        <v>#REF!</v>
      </c>
      <c r="M438" s="52" t="e">
        <f>+#REF!+#REF!+#REF!+#REF!+#REF!+#REF!+#REF!+#REF!+#REF!+#REF!+#REF!+#REF!+#REF!+#REF!+#REF!+M241</f>
        <v>#REF!</v>
      </c>
      <c r="N438" s="52" t="e">
        <f>+#REF!+#REF!+#REF!+#REF!+#REF!+#REF!+#REF!+#REF!+#REF!+#REF!+#REF!+#REF!+#REF!+#REF!+#REF!+N241</f>
        <v>#REF!</v>
      </c>
      <c r="O438" s="52" t="e">
        <f>+#REF!+#REF!+#REF!+#REF!+#REF!+#REF!+#REF!+#REF!+#REF!+#REF!+#REF!+#REF!+#REF!+#REF!+#REF!+O241</f>
        <v>#REF!</v>
      </c>
      <c r="P438" s="52" t="e">
        <f>+#REF!+#REF!+#REF!+#REF!+#REF!+#REF!+#REF!+#REF!+#REF!+#REF!+#REF!+#REF!+#REF!+#REF!+#REF!+P241</f>
        <v>#REF!</v>
      </c>
      <c r="Q438" s="52" t="e">
        <f>+#REF!+#REF!+#REF!+#REF!+#REF!+#REF!+#REF!+#REF!+#REF!+#REF!+#REF!+#REF!+#REF!+#REF!+#REF!+Q241</f>
        <v>#REF!</v>
      </c>
      <c r="R438" s="52" t="e">
        <f>+#REF!+#REF!+#REF!+#REF!+#REF!+#REF!+#REF!+#REF!+#REF!+#REF!+#REF!+#REF!+#REF!+#REF!+#REF!+R241</f>
        <v>#REF!</v>
      </c>
      <c r="S438" s="52" t="e">
        <f>+#REF!+#REF!+#REF!+#REF!+#REF!+#REF!+#REF!+#REF!+#REF!+#REF!+#REF!+#REF!+#REF!+#REF!+#REF!+S241</f>
        <v>#REF!</v>
      </c>
      <c r="T438" s="52" t="e">
        <f>+#REF!+#REF!+#REF!+#REF!+#REF!+#REF!+#REF!+#REF!+#REF!+#REF!+#REF!+#REF!+#REF!+#REF!+#REF!+T241</f>
        <v>#REF!</v>
      </c>
      <c r="U438" s="52" t="e">
        <f>+#REF!+#REF!+#REF!+#REF!+#REF!+#REF!+#REF!+#REF!+#REF!+#REF!+#REF!+#REF!+#REF!+#REF!+#REF!+U241</f>
        <v>#REF!</v>
      </c>
      <c r="V438" s="52"/>
      <c r="W438" s="52"/>
      <c r="X438" s="52"/>
      <c r="Y438" s="52"/>
      <c r="Z438" s="52"/>
      <c r="AA438" s="52"/>
      <c r="AB438" s="52"/>
      <c r="AC438" s="52"/>
      <c r="AD438" s="52"/>
      <c r="AE438" s="52"/>
      <c r="AF438" s="52"/>
      <c r="AG438" s="52"/>
      <c r="AH438" s="52"/>
      <c r="AI438" s="52"/>
      <c r="AJ438" s="52"/>
      <c r="AK438" s="52"/>
      <c r="AL438" s="52"/>
      <c r="AM438" s="52"/>
      <c r="AN438" s="52"/>
      <c r="AO438" s="52"/>
      <c r="AP438" s="52"/>
      <c r="AQ438" s="52"/>
      <c r="AR438" s="52"/>
      <c r="AS438" s="52"/>
      <c r="AT438" s="52"/>
      <c r="AU438" s="52"/>
      <c r="AV438" s="77"/>
      <c r="AW438" s="77"/>
      <c r="AX438" s="78"/>
      <c r="AY438" s="171" t="e">
        <f>+#REF!+#REF!+#REF!+#REF!+#REF!+#REF!+#REF!+AY241+#REF!+#REF!+#REF!+#REF!+#REF!*10</f>
        <v>#REF!</v>
      </c>
      <c r="AZ438" s="171" t="e">
        <f>+#REF!+#REF!+#REF!+#REF!+#REF!+#REF!+#REF!+AZ241+#REF!+#REF!+#REF!+#REF!+#REF!*10</f>
        <v>#REF!</v>
      </c>
      <c r="BA438" s="171" t="e">
        <f>+#REF!+#REF!+#REF!+#REF!+#REF!+#REF!+#REF!+BA241+#REF!+#REF!+#REF!+#REF!+#REF!*10</f>
        <v>#REF!</v>
      </c>
      <c r="BB438" s="171" t="e">
        <f>+#REF!+#REF!+#REF!+#REF!+#REF!+#REF!+#REF!+BB241+#REF!+#REF!+#REF!+#REF!+#REF!*10</f>
        <v>#REF!</v>
      </c>
      <c r="BC438" s="52"/>
      <c r="BD438" s="52"/>
      <c r="BE438" s="22"/>
      <c r="BF438" s="52"/>
      <c r="BG438" s="52"/>
      <c r="BH438" s="22"/>
      <c r="BI438" s="22"/>
      <c r="BJ438" s="40"/>
      <c r="BK438" s="52" t="e">
        <f>+#REF!+#REF!+#REF!+#REF!+#REF!+#REF!+#REF!+#REF!+#REF!+#REF!+#REF!+#REF!+#REF!+#REF!+#REF!+BK241</f>
        <v>#REF!</v>
      </c>
      <c r="BL438" s="52" t="e">
        <f>+#REF!+#REF!+#REF!+#REF!+#REF!+#REF!+#REF!+#REF!+#REF!+#REF!+#REF!+#REF!+#REF!+#REF!+#REF!+BL241</f>
        <v>#REF!</v>
      </c>
      <c r="BM438" s="52" t="e">
        <f>+#REF!+#REF!+#REF!+#REF!+#REF!+#REF!+#REF!+#REF!+#REF!+#REF!+#REF!+#REF!+#REF!+#REF!+#REF!+BM241</f>
        <v>#REF!</v>
      </c>
      <c r="BN438" s="52" t="e">
        <f>+#REF!+#REF!+#REF!+#REF!+#REF!+#REF!+#REF!+#REF!+#REF!+#REF!+#REF!+#REF!+#REF!+#REF!+#REF!+BN241</f>
        <v>#REF!</v>
      </c>
      <c r="BO438" s="52" t="e">
        <f>+#REF!+#REF!+#REF!+#REF!+#REF!+#REF!+#REF!+#REF!+#REF!+#REF!+#REF!+#REF!+#REF!+#REF!+#REF!+BO241</f>
        <v>#REF!</v>
      </c>
      <c r="BP438" s="52" t="e">
        <f>+#REF!+#REF!+#REF!+#REF!+#REF!+#REF!+#REF!+#REF!+#REF!+#REF!+#REF!+#REF!+#REF!+#REF!+#REF!+BP241</f>
        <v>#REF!</v>
      </c>
      <c r="BQ438" s="52" t="e">
        <f>+#REF!+#REF!+#REF!+#REF!+#REF!+#REF!+#REF!+#REF!+#REF!+#REF!+#REF!+#REF!+#REF!+#REF!+#REF!+BQ241</f>
        <v>#REF!</v>
      </c>
      <c r="BR438" s="52" t="e">
        <f>+#REF!+#REF!+#REF!+#REF!+#REF!+#REF!+#REF!+#REF!+#REF!+#REF!+#REF!+#REF!+#REF!+#REF!+#REF!+BR241</f>
        <v>#REF!</v>
      </c>
      <c r="BS438" s="52" t="e">
        <f>+#REF!+#REF!+#REF!+#REF!+#REF!+#REF!+#REF!+#REF!+#REF!+#REF!+#REF!+#REF!+#REF!+#REF!+#REF!+BS241</f>
        <v>#REF!</v>
      </c>
      <c r="BT438" s="52" t="e">
        <f>+#REF!+#REF!+#REF!+#REF!+#REF!+#REF!+#REF!+#REF!+#REF!+#REF!+#REF!+#REF!+#REF!+#REF!+#REF!+BT241</f>
        <v>#REF!</v>
      </c>
      <c r="BU438" s="52" t="e">
        <f>+#REF!+#REF!+#REF!+#REF!+#REF!+#REF!+#REF!+#REF!+#REF!+#REF!+#REF!+#REF!+#REF!+#REF!+#REF!+BU241</f>
        <v>#REF!</v>
      </c>
      <c r="BV438" s="52" t="e">
        <f>+#REF!+#REF!+#REF!+#REF!+#REF!+#REF!+#REF!+#REF!+#REF!+#REF!+#REF!+#REF!+#REF!+#REF!+#REF!+BV241</f>
        <v>#REF!</v>
      </c>
      <c r="BW438" s="52" t="e">
        <f>+#REF!+#REF!+#REF!+#REF!+#REF!+#REF!+#REF!+#REF!+#REF!+#REF!+#REF!+#REF!+#REF!+#REF!+#REF!+BW241</f>
        <v>#REF!</v>
      </c>
      <c r="BX438" s="52" t="e">
        <f>+#REF!+#REF!+#REF!+#REF!+#REF!+#REF!+#REF!+#REF!+#REF!+#REF!+#REF!+#REF!+#REF!+#REF!+#REF!+BX241</f>
        <v>#REF!</v>
      </c>
      <c r="BY438" s="52" t="e">
        <f>+#REF!+#REF!+#REF!+#REF!+#REF!+#REF!+#REF!+#REF!+#REF!+#REF!+#REF!+#REF!+#REF!+#REF!+#REF!+BY241</f>
        <v>#REF!</v>
      </c>
      <c r="BZ438" s="52" t="e">
        <f>+#REF!+#REF!+#REF!+#REF!+#REF!+#REF!+#REF!+#REF!+#REF!+#REF!+#REF!+#REF!+#REF!+#REF!+#REF!+BZ241</f>
        <v>#REF!</v>
      </c>
      <c r="CA438" s="52" t="e">
        <f>+#REF!+#REF!+#REF!+#REF!+#REF!+#REF!+#REF!+#REF!+#REF!+#REF!+#REF!+#REF!+#REF!+#REF!+#REF!+CA241</f>
        <v>#REF!</v>
      </c>
      <c r="CB438" s="52" t="e">
        <f>+#REF!+#REF!+#REF!+#REF!+#REF!+#REF!+#REF!+#REF!+#REF!+#REF!+#REF!+#REF!+#REF!+#REF!+#REF!+CB241</f>
        <v>#REF!</v>
      </c>
      <c r="CC438" s="52" t="e">
        <f>+#REF!+#REF!+#REF!+#REF!+#REF!+#REF!+#REF!+#REF!+#REF!+#REF!+#REF!+#REF!+#REF!+#REF!+#REF!+CC241</f>
        <v>#REF!</v>
      </c>
      <c r="CD438" s="52" t="e">
        <f>+#REF!+#REF!+#REF!+#REF!+#REF!+#REF!+#REF!+#REF!+#REF!+#REF!+#REF!+#REF!+#REF!+#REF!+#REF!+CD241</f>
        <v>#REF!</v>
      </c>
      <c r="CE438" s="22" t="e">
        <f t="shared" si="1673"/>
        <v>#REF!</v>
      </c>
      <c r="CF438" s="22" t="e">
        <f t="shared" si="1612"/>
        <v>#REF!</v>
      </c>
      <c r="CG438" s="22" t="e">
        <f t="shared" si="1613"/>
        <v>#REF!</v>
      </c>
      <c r="CH438" s="22" t="e">
        <f t="shared" si="1614"/>
        <v>#REF!</v>
      </c>
      <c r="CI438" s="22" t="e">
        <f t="shared" si="1615"/>
        <v>#REF!</v>
      </c>
      <c r="CJ438" s="22" t="e">
        <f t="shared" si="1616"/>
        <v>#REF!</v>
      </c>
      <c r="CK438" s="22" t="e">
        <f t="shared" si="1617"/>
        <v>#REF!</v>
      </c>
      <c r="CL438" s="22" t="e">
        <f t="shared" si="1644"/>
        <v>#REF!</v>
      </c>
      <c r="CM438" s="22" t="e">
        <f t="shared" si="1645"/>
        <v>#REF!</v>
      </c>
      <c r="CN438" s="22" t="e">
        <f t="shared" si="1677"/>
        <v>#REF!</v>
      </c>
      <c r="CO438" s="22" t="e">
        <f t="shared" si="1618"/>
        <v>#REF!</v>
      </c>
      <c r="CP438" s="22" t="e">
        <f t="shared" si="1678"/>
        <v>#REF!</v>
      </c>
      <c r="CQ438" s="22" t="e">
        <f t="shared" si="1679"/>
        <v>#REF!</v>
      </c>
      <c r="CR438" s="22" t="e">
        <f t="shared" si="1620"/>
        <v>#REF!</v>
      </c>
      <c r="CS438" s="22" t="e">
        <f t="shared" si="1680"/>
        <v>#REF!</v>
      </c>
      <c r="CT438" s="22" t="e">
        <f>+CA438/M444*1000</f>
        <v>#REF!</v>
      </c>
      <c r="CU438" s="22" t="e">
        <f t="shared" si="1682"/>
        <v>#REF!</v>
      </c>
      <c r="CV438" s="22" t="e">
        <f t="shared" si="1691"/>
        <v>#REF!</v>
      </c>
      <c r="CW438" s="52" t="e">
        <f>+#REF!+#REF!+#REF!+#REF!+#REF!+#REF!+#REF!+#REF!+#REF!+#REF!+#REF!+#REF!+#REF!+#REF!+#REF!+CW241</f>
        <v>#REF!</v>
      </c>
      <c r="CX438" s="52" t="e">
        <f>+#REF!+#REF!+#REF!+#REF!+#REF!+#REF!+#REF!+#REF!+#REF!+#REF!+#REF!+#REF!+#REF!+#REF!+#REF!+CX241</f>
        <v>#REF!</v>
      </c>
      <c r="CY438" s="52" t="e">
        <f>+#REF!+#REF!+#REF!+#REF!+#REF!+#REF!+#REF!+#REF!+#REF!+#REF!+#REF!+#REF!+#REF!+#REF!+#REF!+CY241</f>
        <v>#REF!</v>
      </c>
      <c r="CZ438" s="52" t="e">
        <f>+#REF!+#REF!+#REF!+#REF!+#REF!+#REF!+#REF!+#REF!+#REF!+#REF!+#REF!+#REF!+#REF!+#REF!+#REF!+CZ241</f>
        <v>#REF!</v>
      </c>
      <c r="DA438" s="20" t="e">
        <f t="shared" si="1683"/>
        <v>#REF!</v>
      </c>
      <c r="DB438" s="20" t="e">
        <f t="shared" si="1649"/>
        <v>#REF!</v>
      </c>
      <c r="DC438" s="51" t="e">
        <f t="shared" si="1695"/>
        <v>#REF!</v>
      </c>
      <c r="DD438" s="51" t="e">
        <f t="shared" si="1695"/>
        <v>#REF!</v>
      </c>
      <c r="DE438" s="52" t="e">
        <f>+#REF!+#REF!+#REF!+#REF!+#REF!+#REF!+#REF!+#REF!+#REF!+#REF!+#REF!+#REF!+#REF!+#REF!+#REF!+DE241</f>
        <v>#REF!</v>
      </c>
      <c r="DF438" s="52" t="e">
        <f>+#REF!+#REF!+#REF!+#REF!+#REF!+#REF!+#REF!+#REF!+#REF!+#REF!+#REF!+#REF!+#REF!+#REF!+#REF!+DF241</f>
        <v>#REF!</v>
      </c>
      <c r="DG438" s="52" t="e">
        <f>+#REF!+#REF!+#REF!+#REF!+#REF!+#REF!+#REF!+#REF!+#REF!+#REF!+#REF!+#REF!+#REF!+#REF!+#REF!+DG241</f>
        <v>#REF!</v>
      </c>
      <c r="DH438" s="52" t="e">
        <f>+#REF!+#REF!+#REF!+#REF!+#REF!+#REF!+#REF!+#REF!+#REF!+#REF!+#REF!+#REF!+#REF!+#REF!+#REF!+DH241</f>
        <v>#REF!</v>
      </c>
      <c r="DI438" s="39"/>
      <c r="DJ438" s="80"/>
      <c r="DK438" s="39"/>
      <c r="DL438" s="39"/>
      <c r="DM438" s="48">
        <f>+AT438-'[2]тарифы (12-13) население 15%'!AP545</f>
        <v>0</v>
      </c>
      <c r="DN438" s="39"/>
      <c r="DO438" s="39"/>
      <c r="DP438" s="39"/>
      <c r="DQ438" s="39"/>
      <c r="DR438" s="39"/>
      <c r="DS438" s="39"/>
      <c r="DT438" s="39"/>
      <c r="DU438" s="39"/>
      <c r="DV438" s="48" t="e">
        <f>+#REF!+#REF!+#REF!+#REF!+#REF!+#REF!+#REF!+DV241+#REF!+#REF!+#REF!+#REF!+#REF!</f>
        <v>#REF!</v>
      </c>
      <c r="DW438" s="48" t="e">
        <f>+#REF!+#REF!+#REF!+#REF!+#REF!+#REF!+#REF!+DW241+#REF!+#REF!+#REF!+#REF!+#REF!</f>
        <v>#REF!</v>
      </c>
      <c r="DX438" s="21">
        <f>+'[1]тарифы (НВВ) население на 4,2%'!CO566</f>
        <v>99.993854387124671</v>
      </c>
      <c r="DY438" s="20" t="e">
        <f>+IF(DW438=0,,DV438/DW438*100)</f>
        <v>#REF!</v>
      </c>
      <c r="DZ438" s="46"/>
      <c r="EA438" s="46"/>
      <c r="EB438" s="46"/>
      <c r="EC438" s="39"/>
      <c r="ED438" s="39"/>
      <c r="EE438" s="39"/>
      <c r="EF438" s="39"/>
      <c r="EG438" s="39"/>
      <c r="EH438" s="39"/>
      <c r="EI438" s="39"/>
      <c r="EJ438" s="22">
        <f t="shared" si="1662"/>
        <v>0</v>
      </c>
      <c r="EK438" s="39"/>
      <c r="EL438" s="48" t="e">
        <f>+#REF!+#REF!+#REF!+#REF!+#REF!+#REF!+#REF!+EL241+#REF!+#REF!+#REF!+#REF!+#REF!+#REF!</f>
        <v>#REF!</v>
      </c>
      <c r="EM438" s="48" t="e">
        <f>+#REF!+#REF!+#REF!+#REF!+#REF!+#REF!+#REF!+EM241+#REF!+#REF!+#REF!+#REF!+#REF!+#REF!</f>
        <v>#REF!</v>
      </c>
      <c r="EN438" s="20" t="e">
        <f>+#REF!+#REF!+#REF!+#REF!+#REF!+#REF!+#REF!+EN241+#REF!+#REF!+#REF!+#REF!+#REF!+#REF!</f>
        <v>#REF!</v>
      </c>
      <c r="EO438" s="20" t="e">
        <f>+#REF!+#REF!+#REF!+#REF!+#REF!+#REF!+#REF!+EO241+#REF!+#REF!+#REF!+#REF!+#REF!+#REF!</f>
        <v>#REF!</v>
      </c>
      <c r="EP438" s="20"/>
      <c r="EQ438" s="21" t="e">
        <f t="shared" si="1623"/>
        <v>#REF!</v>
      </c>
      <c r="ER438" s="21"/>
      <c r="ES438" s="21"/>
      <c r="ET438" s="21"/>
      <c r="EU438" s="21"/>
      <c r="EV438" s="21"/>
      <c r="EW438" s="39"/>
      <c r="EX438" s="39" t="e">
        <f>+#REF!+#REF!+#REF!+#REF!+#REF!+#REF!+#REF!+EX241+#REF!+#REF!+#REF!+#REF!+#REF!+#REF!</f>
        <v>#REF!</v>
      </c>
      <c r="EY438" s="39" t="e">
        <f>+#REF!+#REF!+#REF!+#REF!+#REF!+#REF!+#REF!+EY241+#REF!+#REF!+#REF!+#REF!+#REF!+#REF!</f>
        <v>#REF!</v>
      </c>
      <c r="EZ438" s="39" t="e">
        <f>+EY438/EX438</f>
        <v>#REF!</v>
      </c>
      <c r="FA438" s="39"/>
      <c r="FB438" s="39"/>
      <c r="FC438" s="39"/>
      <c r="FD438" s="39"/>
      <c r="FE438" s="39"/>
      <c r="FF438" s="39"/>
      <c r="FG438" s="39"/>
      <c r="FH438" s="39"/>
      <c r="FI438" s="39"/>
      <c r="FJ438" s="46"/>
      <c r="FK438" s="46"/>
      <c r="FL438" s="46"/>
      <c r="FM438" s="19" t="e">
        <f>+#REF!+#REF!+#REF!+#REF!+#REF!+#REF!+#REF!+#REF!+#REF!+#REF!+#REF!</f>
        <v>#REF!</v>
      </c>
      <c r="FN438" s="19" t="e">
        <f>+#REF!+#REF!+#REF!+#REF!+#REF!+#REF!+#REF!+#REF!+#REF!+#REF!+#REF!</f>
        <v>#REF!</v>
      </c>
      <c r="FO438" s="39">
        <f t="shared" si="1624"/>
        <v>0</v>
      </c>
      <c r="FP438" s="39"/>
      <c r="FQ438" s="39"/>
      <c r="FR438" s="39">
        <f t="shared" si="1625"/>
        <v>0</v>
      </c>
      <c r="FS438" s="39"/>
      <c r="FT438" s="22"/>
      <c r="FU438" s="22"/>
      <c r="FV438" s="19" t="e">
        <f t="shared" si="1685"/>
        <v>#REF!</v>
      </c>
      <c r="FW438" s="19" t="e">
        <f t="shared" si="1686"/>
        <v>#REF!</v>
      </c>
      <c r="FX438" s="39"/>
      <c r="FY438" s="19" t="e">
        <f>+#REF!+#REF!+#REF!+#REF!+#REF!+#REF!+#REF!+#REF!+#REF!+#REF!+#REF!</f>
        <v>#REF!</v>
      </c>
      <c r="FZ438" s="19" t="e">
        <f>+#REF!+#REF!+#REF!+#REF!+#REF!+#REF!+#REF!+#REF!+#REF!+#REF!+#REF!</f>
        <v>#REF!</v>
      </c>
      <c r="GA438" s="19" t="e">
        <f>+#REF!+#REF!+#REF!+#REF!+#REF!+#REF!+#REF!+#REF!+#REF!+#REF!+#REF!</f>
        <v>#REF!</v>
      </c>
      <c r="GB438" s="19" t="e">
        <f>+#REF!+#REF!+#REF!+#REF!+#REF!+#REF!+#REF!+#REF!+#REF!+#REF!+#REF!</f>
        <v>#REF!</v>
      </c>
      <c r="GC438" s="20" t="e">
        <f t="shared" si="1687"/>
        <v>#REF!</v>
      </c>
      <c r="GD438" s="21" t="e">
        <f t="shared" si="1669"/>
        <v>#REF!</v>
      </c>
      <c r="GE438" s="21" t="e">
        <f>+#REF!/10+#REF!+#REF!+#REF!+#REF!+#REF!+#REF!+#REF!+#REF!+#REF!+#REF!</f>
        <v>#REF!</v>
      </c>
      <c r="GF438" s="21" t="e">
        <f>+#REF!/10+#REF!+#REF!+#REF!+#REF!+#REF!+#REF!+#REF!+#REF!+#REF!+#REF!</f>
        <v>#REF!</v>
      </c>
      <c r="GG438" s="19" t="e">
        <f>+GE438/FM438</f>
        <v>#REF!</v>
      </c>
      <c r="GH438" s="19" t="e">
        <f t="shared" ref="GH438" si="1696">+GF438/FN438</f>
        <v>#REF!</v>
      </c>
      <c r="GI438" s="21" t="e">
        <f>+#REF!/10+#REF!+#REF!+#REF!+#REF!+#REF!+#REF!+#REF!+#REF!+#REF!+#REF!</f>
        <v>#REF!</v>
      </c>
      <c r="GJ438" s="21" t="e">
        <f>+#REF!/10+#REF!+#REF!+#REF!+#REF!+#REF!+#REF!+#REF!+#REF!+#REF!+#REF!</f>
        <v>#REF!</v>
      </c>
      <c r="GK438" s="19" t="e">
        <f t="shared" ref="GK438:GL438" si="1697">+GI438/FM438</f>
        <v>#REF!</v>
      </c>
      <c r="GL438" s="19" t="e">
        <f t="shared" si="1697"/>
        <v>#REF!</v>
      </c>
      <c r="GM438" s="19" t="e">
        <f>+#REF!+#REF!+#REF!+#REF!+#REF!+#REF!+#REF!+GM241+#REF!+#REF!+#REF!+#REF!+#REF!+#REF!+#REF!+(#REF!/10)</f>
        <v>#REF!</v>
      </c>
      <c r="GN438" s="19" t="e">
        <f>+#REF!+#REF!+#REF!+#REF!+#REF!+#REF!+#REF!+GN241+#REF!+#REF!+#REF!+#REF!+#REF!+#REF!+#REF!+(#REF!/10)</f>
        <v>#REF!</v>
      </c>
      <c r="GO438" s="39">
        <f t="shared" si="1692"/>
        <v>0</v>
      </c>
      <c r="GP438" s="39"/>
      <c r="GQ438" s="39"/>
      <c r="GR438" s="39" t="e">
        <f t="shared" si="1688"/>
        <v>#REF!</v>
      </c>
      <c r="GS438" s="39"/>
      <c r="GT438" s="22"/>
      <c r="GU438" s="169"/>
      <c r="GV438" s="19"/>
      <c r="GW438" s="19"/>
      <c r="GX438" s="19" t="e">
        <f>+#REF!+#REF!+#REF!+#REF!+#REF!+#REF!+#REF!+#REF!+#REF!+#REF!+#REF!</f>
        <v>#REF!</v>
      </c>
      <c r="GY438" s="19" t="e">
        <f>+#REF!+#REF!+#REF!+#REF!+#REF!+#REF!+#REF!+#REF!+#REF!+#REF!+#REF!</f>
        <v>#REF!</v>
      </c>
      <c r="GZ438" s="19" t="e">
        <f>+IF(GY438=0,,GX438/GY438*100)</f>
        <v>#REF!</v>
      </c>
      <c r="HA438" s="39">
        <f t="shared" si="1689"/>
        <v>0</v>
      </c>
      <c r="HB438" s="39"/>
      <c r="HC438" s="39"/>
      <c r="HD438" s="39">
        <f t="shared" si="1690"/>
        <v>0</v>
      </c>
      <c r="HE438" s="39"/>
      <c r="HF438" s="207"/>
      <c r="HG438" s="169"/>
    </row>
    <row r="439" spans="2:215" ht="19.149999999999999" hidden="1" customHeight="1" thickBot="1">
      <c r="B439" s="230"/>
      <c r="C439" s="199" t="s">
        <v>148</v>
      </c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  <c r="AC439" s="52"/>
      <c r="AD439" s="52"/>
      <c r="AE439" s="52"/>
      <c r="AF439" s="52"/>
      <c r="AG439" s="52"/>
      <c r="AH439" s="52"/>
      <c r="AI439" s="52"/>
      <c r="AJ439" s="52"/>
      <c r="AK439" s="52"/>
      <c r="AL439" s="52"/>
      <c r="AM439" s="52"/>
      <c r="AN439" s="52"/>
      <c r="AO439" s="52"/>
      <c r="AP439" s="52"/>
      <c r="AQ439" s="52"/>
      <c r="AR439" s="52"/>
      <c r="AS439" s="52"/>
      <c r="AT439" s="52"/>
      <c r="AU439" s="52"/>
      <c r="AV439" s="77"/>
      <c r="AW439" s="77"/>
      <c r="AX439" s="78"/>
      <c r="AY439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AZ439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BA439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BB439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BC439" s="52"/>
      <c r="BD439" s="52"/>
      <c r="BE439" s="22"/>
      <c r="BF439" s="52"/>
      <c r="BG439" s="52"/>
      <c r="BH439" s="22"/>
      <c r="BI439" s="22"/>
      <c r="BJ439" s="40"/>
      <c r="BK439" s="52"/>
      <c r="BL439" s="52"/>
      <c r="BM439" s="52"/>
      <c r="BN439" s="52"/>
      <c r="BO439" s="52"/>
      <c r="BP439" s="52"/>
      <c r="BQ439" s="52"/>
      <c r="BR439" s="52"/>
      <c r="BS439" s="52"/>
      <c r="BT439" s="52"/>
      <c r="BU439" s="52"/>
      <c r="BV439" s="52"/>
      <c r="BW439" s="52"/>
      <c r="BX439" s="52"/>
      <c r="BY439" s="52"/>
      <c r="BZ439" s="52"/>
      <c r="CA439" s="22"/>
      <c r="CB439" s="52"/>
      <c r="CC439" s="52"/>
      <c r="CD439" s="52"/>
      <c r="CE439" s="22"/>
      <c r="CF439" s="22"/>
      <c r="CG439" s="22"/>
      <c r="CH439" s="22"/>
      <c r="CI439" s="22"/>
      <c r="CJ439" s="22"/>
      <c r="CK439" s="22"/>
      <c r="CL439" s="22"/>
      <c r="CM439" s="22"/>
      <c r="CN439" s="22"/>
      <c r="CO439" s="22"/>
      <c r="CP439" s="22"/>
      <c r="CQ439" s="22"/>
      <c r="CR439" s="22"/>
      <c r="CS439" s="22"/>
      <c r="CT439" s="22"/>
      <c r="CU439" s="22"/>
      <c r="CV439" s="22"/>
      <c r="CW439" s="22"/>
      <c r="CX439" s="22"/>
      <c r="CY439" s="22"/>
      <c r="CZ439" s="22"/>
      <c r="DA439" s="20"/>
      <c r="DB439" s="20"/>
      <c r="DC439" s="51"/>
      <c r="DD439" s="51"/>
      <c r="DE439" s="22"/>
      <c r="DF439" s="22"/>
      <c r="DG439" s="22"/>
      <c r="DH439" s="22"/>
      <c r="DI439" s="39"/>
      <c r="DJ439" s="80"/>
      <c r="DK439" s="39"/>
      <c r="DL439" s="39"/>
      <c r="DM439" s="48">
        <f>+AT439-'[2]тарифы (12-13) население 15%'!AP546</f>
        <v>0</v>
      </c>
      <c r="DN439" s="39"/>
      <c r="DO439" s="39"/>
      <c r="DP439" s="39"/>
      <c r="DQ439" s="39"/>
      <c r="DR439" s="39"/>
      <c r="DS439" s="39"/>
      <c r="DT439" s="39"/>
      <c r="DU439" s="39"/>
      <c r="DV439" s="48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DW439" s="48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DX439" s="21" t="e">
        <f>+DY439</f>
        <v>#REF!</v>
      </c>
      <c r="DY439" s="20" t="e">
        <f t="shared" si="1671"/>
        <v>#REF!</v>
      </c>
      <c r="DZ439" s="46"/>
      <c r="EA439" s="46"/>
      <c r="EB439" s="46"/>
      <c r="EC439" s="39"/>
      <c r="ED439" s="39"/>
      <c r="EE439" s="39"/>
      <c r="EF439" s="39"/>
      <c r="EG439" s="39"/>
      <c r="EH439" s="39"/>
      <c r="EI439" s="39"/>
      <c r="EJ439" s="22">
        <f t="shared" si="1662"/>
        <v>0</v>
      </c>
      <c r="EK439" s="39"/>
      <c r="EL439" s="19">
        <v>109279.7</v>
      </c>
      <c r="EM439" s="19">
        <f>+EL439</f>
        <v>109279.7</v>
      </c>
      <c r="EN439" s="21">
        <f>+EL439*4.98/1.18</f>
        <v>461197.37796610181</v>
      </c>
      <c r="EO439" s="21">
        <f>+EN439</f>
        <v>461197.37796610181</v>
      </c>
      <c r="EP439" s="21"/>
      <c r="EQ439" s="21">
        <f t="shared" si="1623"/>
        <v>100</v>
      </c>
      <c r="ER439" s="21"/>
      <c r="ES439" s="21"/>
      <c r="ET439" s="21"/>
      <c r="EU439" s="21"/>
      <c r="EV439" s="21"/>
      <c r="EW439" s="39"/>
      <c r="EX439" s="39"/>
      <c r="EY439" s="39"/>
      <c r="EZ439" s="39"/>
      <c r="FA439" s="39"/>
      <c r="FB439" s="39"/>
      <c r="FC439" s="39"/>
      <c r="FD439" s="39"/>
      <c r="FE439" s="39"/>
      <c r="FF439" s="39"/>
      <c r="FG439" s="39"/>
      <c r="FH439" s="39"/>
      <c r="FI439" s="39"/>
      <c r="FJ439" s="46"/>
      <c r="FK439" s="46"/>
      <c r="FL439" s="46"/>
      <c r="FM439" s="46"/>
      <c r="FN439" s="46"/>
      <c r="FO439" s="39">
        <f t="shared" si="1624"/>
        <v>0</v>
      </c>
      <c r="FP439" s="39"/>
      <c r="FQ439" s="39"/>
      <c r="FR439" s="39">
        <f t="shared" si="1625"/>
        <v>0</v>
      </c>
      <c r="FS439" s="39"/>
      <c r="FT439" s="22"/>
      <c r="FU439" s="22"/>
      <c r="FV439" s="19">
        <f t="shared" si="1685"/>
        <v>0</v>
      </c>
      <c r="FW439" s="19">
        <f t="shared" si="1686"/>
        <v>0</v>
      </c>
      <c r="FX439" s="39"/>
      <c r="FY439" s="19">
        <f>+(FR439*EM439)/1.18</f>
        <v>0</v>
      </c>
      <c r="FZ439" s="39"/>
      <c r="GA439" s="39"/>
      <c r="GB439" s="39"/>
      <c r="GC439" s="20">
        <f t="shared" si="1687"/>
        <v>0</v>
      </c>
      <c r="GD439" s="21">
        <f t="shared" si="1669"/>
        <v>0</v>
      </c>
      <c r="GE439" s="21"/>
      <c r="GF439" s="21"/>
      <c r="GG439" s="21"/>
      <c r="GH439" s="21"/>
      <c r="GI439" s="21"/>
      <c r="GJ439" s="21"/>
      <c r="GK439" s="21"/>
      <c r="GL439" s="21"/>
      <c r="GM439" s="46"/>
      <c r="GN439" s="46"/>
      <c r="GO439" s="39">
        <f t="shared" si="1692"/>
        <v>0</v>
      </c>
      <c r="GP439" s="39"/>
      <c r="GQ439" s="39"/>
      <c r="GR439" s="39">
        <f t="shared" si="1688"/>
        <v>0</v>
      </c>
      <c r="GS439" s="39"/>
      <c r="GT439" s="22"/>
      <c r="GU439" s="169"/>
      <c r="GV439" s="19"/>
      <c r="GW439" s="19"/>
      <c r="GX439" s="19"/>
      <c r="GY439" s="19"/>
      <c r="GZ439" s="19"/>
      <c r="HA439" s="39">
        <f t="shared" si="1689"/>
        <v>0</v>
      </c>
      <c r="HB439" s="39"/>
      <c r="HC439" s="39"/>
      <c r="HD439" s="39">
        <f t="shared" si="1690"/>
        <v>0</v>
      </c>
      <c r="HE439" s="39"/>
      <c r="HF439" s="207"/>
      <c r="HG439" s="169"/>
    </row>
    <row r="440" spans="2:215" ht="19.149999999999999" hidden="1" customHeight="1" thickBot="1">
      <c r="B440" s="231"/>
      <c r="C440" s="199" t="s">
        <v>148</v>
      </c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  <c r="AC440" s="52"/>
      <c r="AD440" s="52"/>
      <c r="AE440" s="52"/>
      <c r="AF440" s="52"/>
      <c r="AG440" s="52"/>
      <c r="AH440" s="52"/>
      <c r="AI440" s="52"/>
      <c r="AJ440" s="52"/>
      <c r="AK440" s="52"/>
      <c r="AL440" s="52"/>
      <c r="AM440" s="52"/>
      <c r="AN440" s="52"/>
      <c r="AO440" s="52"/>
      <c r="AP440" s="52"/>
      <c r="AQ440" s="52"/>
      <c r="AR440" s="52"/>
      <c r="AS440" s="52"/>
      <c r="AT440" s="52"/>
      <c r="AU440" s="52"/>
      <c r="AV440" s="77"/>
      <c r="AW440" s="77"/>
      <c r="AX440" s="78"/>
      <c r="AY440" s="171"/>
      <c r="AZ440" s="171"/>
      <c r="BA440" s="171"/>
      <c r="BB440" s="171"/>
      <c r="BC440" s="52"/>
      <c r="BD440" s="52"/>
      <c r="BE440" s="22"/>
      <c r="BF440" s="52"/>
      <c r="BG440" s="52"/>
      <c r="BH440" s="22"/>
      <c r="BI440" s="22"/>
      <c r="BJ440" s="40"/>
      <c r="BK440" s="52"/>
      <c r="BL440" s="52"/>
      <c r="BM440" s="52"/>
      <c r="BN440" s="52"/>
      <c r="BO440" s="52"/>
      <c r="BP440" s="52"/>
      <c r="BQ440" s="52"/>
      <c r="BR440" s="52"/>
      <c r="BS440" s="52"/>
      <c r="BT440" s="52"/>
      <c r="BU440" s="52"/>
      <c r="BV440" s="52"/>
      <c r="BW440" s="52"/>
      <c r="BX440" s="52"/>
      <c r="BY440" s="52"/>
      <c r="BZ440" s="52"/>
      <c r="CA440" s="22"/>
      <c r="CB440" s="52"/>
      <c r="CC440" s="52"/>
      <c r="CD440" s="52"/>
      <c r="CE440" s="22"/>
      <c r="CF440" s="22"/>
      <c r="CG440" s="22"/>
      <c r="CH440" s="22"/>
      <c r="CI440" s="22"/>
      <c r="CJ440" s="22"/>
      <c r="CK440" s="22"/>
      <c r="CL440" s="22"/>
      <c r="CM440" s="22"/>
      <c r="CN440" s="22"/>
      <c r="CO440" s="22"/>
      <c r="CP440" s="22"/>
      <c r="CQ440" s="22"/>
      <c r="CR440" s="22"/>
      <c r="CS440" s="22"/>
      <c r="CT440" s="22"/>
      <c r="CU440" s="22"/>
      <c r="CV440" s="22"/>
      <c r="CW440" s="22"/>
      <c r="CX440" s="22"/>
      <c r="CY440" s="22"/>
      <c r="CZ440" s="22"/>
      <c r="DA440" s="20"/>
      <c r="DB440" s="20"/>
      <c r="DC440" s="51"/>
      <c r="DD440" s="51"/>
      <c r="DE440" s="22"/>
      <c r="DF440" s="22"/>
      <c r="DG440" s="22"/>
      <c r="DH440" s="22"/>
      <c r="DI440" s="39"/>
      <c r="DJ440" s="80"/>
      <c r="DK440" s="39"/>
      <c r="DL440" s="39"/>
      <c r="DM440" s="48"/>
      <c r="DN440" s="39"/>
      <c r="DO440" s="39"/>
      <c r="DP440" s="39"/>
      <c r="DQ440" s="39"/>
      <c r="DR440" s="39"/>
      <c r="DS440" s="39"/>
      <c r="DT440" s="39"/>
      <c r="DU440" s="39"/>
      <c r="DV440" s="48"/>
      <c r="DW440" s="48"/>
      <c r="DX440" s="21"/>
      <c r="DY440" s="20"/>
      <c r="DZ440" s="46"/>
      <c r="EA440" s="46"/>
      <c r="EB440" s="46"/>
      <c r="EC440" s="39"/>
      <c r="ED440" s="39"/>
      <c r="EE440" s="39"/>
      <c r="EF440" s="39"/>
      <c r="EG440" s="39"/>
      <c r="EH440" s="39"/>
      <c r="EI440" s="39"/>
      <c r="EJ440" s="22"/>
      <c r="EK440" s="39"/>
      <c r="EL440" s="19">
        <v>6777.9</v>
      </c>
      <c r="EM440" s="19">
        <f>+EL440</f>
        <v>6777.9</v>
      </c>
      <c r="EN440" s="21">
        <f>+EL440*37.7/1.18</f>
        <v>216548.16101694919</v>
      </c>
      <c r="EO440" s="21">
        <f>+EM440*37.7/1.18</f>
        <v>216548.16101694919</v>
      </c>
      <c r="EP440" s="21"/>
      <c r="EQ440" s="21">
        <f t="shared" si="1623"/>
        <v>100</v>
      </c>
      <c r="ER440" s="21"/>
      <c r="ES440" s="21"/>
      <c r="ET440" s="21"/>
      <c r="EU440" s="21"/>
      <c r="EV440" s="21"/>
      <c r="EW440" s="39"/>
      <c r="EX440" s="39"/>
      <c r="EY440" s="39"/>
      <c r="EZ440" s="39"/>
      <c r="FA440" s="39"/>
      <c r="FB440" s="39"/>
      <c r="FC440" s="39"/>
      <c r="FD440" s="39"/>
      <c r="FE440" s="39"/>
      <c r="FF440" s="39"/>
      <c r="FG440" s="39"/>
      <c r="FH440" s="39"/>
      <c r="FI440" s="39"/>
      <c r="FJ440" s="46"/>
      <c r="FK440" s="46"/>
      <c r="FL440" s="46"/>
      <c r="FM440" s="46"/>
      <c r="FN440" s="46"/>
      <c r="FO440" s="39">
        <f t="shared" si="1624"/>
        <v>0</v>
      </c>
      <c r="FP440" s="39"/>
      <c r="FQ440" s="39"/>
      <c r="FR440" s="39">
        <f t="shared" si="1625"/>
        <v>0</v>
      </c>
      <c r="FS440" s="39"/>
      <c r="FT440" s="22"/>
      <c r="FU440" s="22"/>
      <c r="FV440" s="19">
        <f t="shared" si="1685"/>
        <v>0</v>
      </c>
      <c r="FW440" s="19">
        <f t="shared" si="1686"/>
        <v>0</v>
      </c>
      <c r="FX440" s="39"/>
      <c r="FY440" s="19">
        <f t="shared" si="1630"/>
        <v>0</v>
      </c>
      <c r="FZ440" s="39"/>
      <c r="GA440" s="39"/>
      <c r="GB440" s="39"/>
      <c r="GC440" s="20">
        <f t="shared" si="1687"/>
        <v>0</v>
      </c>
      <c r="GD440" s="21">
        <f t="shared" si="1669"/>
        <v>0</v>
      </c>
      <c r="GE440" s="21"/>
      <c r="GF440" s="21"/>
      <c r="GG440" s="21"/>
      <c r="GH440" s="21"/>
      <c r="GI440" s="21"/>
      <c r="GJ440" s="21"/>
      <c r="GK440" s="21"/>
      <c r="GL440" s="21"/>
      <c r="GM440" s="46"/>
      <c r="GN440" s="46"/>
      <c r="GO440" s="39">
        <f t="shared" si="1692"/>
        <v>0</v>
      </c>
      <c r="GP440" s="39"/>
      <c r="GQ440" s="39"/>
      <c r="GR440" s="39">
        <f t="shared" si="1688"/>
        <v>0</v>
      </c>
      <c r="GS440" s="39"/>
      <c r="GT440" s="22"/>
      <c r="GU440" s="169"/>
      <c r="GV440" s="19"/>
      <c r="GW440" s="19"/>
      <c r="GX440" s="19"/>
      <c r="GY440" s="19"/>
      <c r="GZ440" s="19"/>
      <c r="HA440" s="39">
        <f t="shared" si="1689"/>
        <v>0</v>
      </c>
      <c r="HB440" s="39"/>
      <c r="HC440" s="39"/>
      <c r="HD440" s="39">
        <f t="shared" si="1690"/>
        <v>0</v>
      </c>
      <c r="HE440" s="39"/>
      <c r="HF440" s="207"/>
      <c r="HG440" s="169"/>
    </row>
    <row r="441" spans="2:215" ht="19.149999999999999" hidden="1" customHeight="1" thickBot="1">
      <c r="B441" s="232"/>
      <c r="C441" s="199" t="s">
        <v>148</v>
      </c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  <c r="AC441" s="52"/>
      <c r="AD441" s="52"/>
      <c r="AE441" s="52"/>
      <c r="AF441" s="52"/>
      <c r="AG441" s="52"/>
      <c r="AH441" s="52"/>
      <c r="AI441" s="52"/>
      <c r="AJ441" s="52"/>
      <c r="AK441" s="52"/>
      <c r="AL441" s="52"/>
      <c r="AM441" s="52"/>
      <c r="AN441" s="52"/>
      <c r="AO441" s="52"/>
      <c r="AP441" s="52"/>
      <c r="AQ441" s="52"/>
      <c r="AR441" s="52"/>
      <c r="AS441" s="52"/>
      <c r="AT441" s="52"/>
      <c r="AU441" s="52"/>
      <c r="AV441" s="77"/>
      <c r="AW441" s="77"/>
      <c r="AX441" s="78"/>
      <c r="AY441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AZ441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BA441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BB441" s="17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BC441" s="52"/>
      <c r="BD441" s="52"/>
      <c r="BE441" s="22"/>
      <c r="BF441" s="52"/>
      <c r="BG441" s="52"/>
      <c r="BH441" s="22"/>
      <c r="BI441" s="22"/>
      <c r="BJ441" s="40"/>
      <c r="BK441" s="52"/>
      <c r="BL441" s="52"/>
      <c r="BM441" s="52"/>
      <c r="BN441" s="52"/>
      <c r="BO441" s="52"/>
      <c r="BP441" s="52"/>
      <c r="BQ441" s="52"/>
      <c r="BR441" s="52"/>
      <c r="BS441" s="52"/>
      <c r="BT441" s="52"/>
      <c r="BU441" s="52"/>
      <c r="BV441" s="52"/>
      <c r="BW441" s="52"/>
      <c r="BX441" s="52"/>
      <c r="BY441" s="52"/>
      <c r="BZ441" s="52"/>
      <c r="CA441" s="22"/>
      <c r="CB441" s="52"/>
      <c r="CC441" s="52"/>
      <c r="CD441" s="52"/>
      <c r="CE441" s="22"/>
      <c r="CF441" s="22"/>
      <c r="CG441" s="22"/>
      <c r="CH441" s="22"/>
      <c r="CI441" s="22"/>
      <c r="CJ441" s="22"/>
      <c r="CK441" s="22"/>
      <c r="CL441" s="22"/>
      <c r="CM441" s="22"/>
      <c r="CN441" s="22"/>
      <c r="CO441" s="22"/>
      <c r="CP441" s="22"/>
      <c r="CQ441" s="22"/>
      <c r="CR441" s="22"/>
      <c r="CS441" s="22"/>
      <c r="CT441" s="22"/>
      <c r="CU441" s="22"/>
      <c r="CV441" s="22"/>
      <c r="CW441" s="22"/>
      <c r="CX441" s="22"/>
      <c r="CY441" s="22"/>
      <c r="CZ441" s="22"/>
      <c r="DA441" s="20"/>
      <c r="DB441" s="20"/>
      <c r="DC441" s="51"/>
      <c r="DD441" s="51"/>
      <c r="DE441" s="22"/>
      <c r="DF441" s="22"/>
      <c r="DG441" s="22"/>
      <c r="DH441" s="22"/>
      <c r="DI441" s="39"/>
      <c r="DJ441" s="80"/>
      <c r="DK441" s="39"/>
      <c r="DL441" s="39"/>
      <c r="DM441" s="48">
        <f>+AT441-'[2]тарифы (12-13) население 15%'!AP547</f>
        <v>0</v>
      </c>
      <c r="DN441" s="39"/>
      <c r="DO441" s="39"/>
      <c r="DP441" s="39"/>
      <c r="DQ441" s="39"/>
      <c r="DR441" s="39"/>
      <c r="DS441" s="39"/>
      <c r="DT441" s="39"/>
      <c r="DU441" s="39"/>
      <c r="DV441" s="48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DW441" s="48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DX441" s="21" t="e">
        <f>+DY441</f>
        <v>#REF!</v>
      </c>
      <c r="DY441" s="20" t="e">
        <f t="shared" si="1671"/>
        <v>#REF!</v>
      </c>
      <c r="DZ441" s="46"/>
      <c r="EA441" s="46"/>
      <c r="EB441" s="46"/>
      <c r="EC441" s="39"/>
      <c r="ED441" s="39"/>
      <c r="EE441" s="39"/>
      <c r="EF441" s="39"/>
      <c r="EG441" s="39"/>
      <c r="EH441" s="39"/>
      <c r="EI441" s="39"/>
      <c r="EJ441" s="22">
        <f t="shared" si="1662"/>
        <v>0</v>
      </c>
      <c r="EK441" s="39"/>
      <c r="EL441" s="19">
        <v>532169.6</v>
      </c>
      <c r="EM441" s="19">
        <f>+EL441</f>
        <v>532169.6</v>
      </c>
      <c r="EN441" s="2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EO441" s="21" t="e">
        <f>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EP441" s="21"/>
      <c r="EQ441" s="21" t="e">
        <f t="shared" si="1623"/>
        <v>#REF!</v>
      </c>
      <c r="ER441" s="21"/>
      <c r="ES441" s="21"/>
      <c r="ET441" s="21"/>
      <c r="EU441" s="21"/>
      <c r="EV441" s="21"/>
      <c r="EW441" s="39"/>
      <c r="EX441" s="39"/>
      <c r="EY441" s="39"/>
      <c r="EZ441" s="39"/>
      <c r="FA441" s="39"/>
      <c r="FB441" s="39"/>
      <c r="FC441" s="39"/>
      <c r="FD441" s="39"/>
      <c r="FE441" s="39"/>
      <c r="FF441" s="39"/>
      <c r="FG441" s="39"/>
      <c r="FH441" s="39"/>
      <c r="FI441" s="39"/>
      <c r="FJ441" s="46"/>
      <c r="FK441" s="46"/>
      <c r="FL441" s="46"/>
      <c r="FM441" s="46"/>
      <c r="FN441" s="46"/>
      <c r="FO441" s="39">
        <f t="shared" si="1624"/>
        <v>0</v>
      </c>
      <c r="FP441" s="39"/>
      <c r="FQ441" s="39"/>
      <c r="FR441" s="39">
        <f t="shared" si="1625"/>
        <v>0</v>
      </c>
      <c r="FS441" s="39"/>
      <c r="FT441" s="22"/>
      <c r="FU441" s="22"/>
      <c r="FV441" s="19">
        <f t="shared" si="1685"/>
        <v>0</v>
      </c>
      <c r="FW441" s="19">
        <f t="shared" si="1686"/>
        <v>0</v>
      </c>
      <c r="FX441" s="39"/>
      <c r="FY441" s="19">
        <f t="shared" si="1630"/>
        <v>0</v>
      </c>
      <c r="FZ441" s="39"/>
      <c r="GA441" s="39"/>
      <c r="GB441" s="39"/>
      <c r="GC441" s="20">
        <f t="shared" si="1687"/>
        <v>0</v>
      </c>
      <c r="GD441" s="21">
        <f t="shared" si="1669"/>
        <v>0</v>
      </c>
      <c r="GE441" s="21"/>
      <c r="GF441" s="21"/>
      <c r="GG441" s="21"/>
      <c r="GH441" s="21"/>
      <c r="GI441" s="21"/>
      <c r="GJ441" s="21"/>
      <c r="GK441" s="21"/>
      <c r="GL441" s="21"/>
      <c r="GM441" s="46"/>
      <c r="GN441" s="46"/>
      <c r="GO441" s="39">
        <f t="shared" si="1692"/>
        <v>0</v>
      </c>
      <c r="GP441" s="39"/>
      <c r="GQ441" s="39"/>
      <c r="GR441" s="39">
        <f t="shared" si="1688"/>
        <v>0</v>
      </c>
      <c r="GS441" s="39"/>
      <c r="GT441" s="22"/>
      <c r="GU441" s="169"/>
      <c r="GV441" s="19"/>
      <c r="GW441" s="19"/>
      <c r="GX441" s="19"/>
      <c r="GY441" s="19"/>
      <c r="GZ441" s="19"/>
      <c r="HA441" s="39">
        <f t="shared" si="1689"/>
        <v>0</v>
      </c>
      <c r="HB441" s="39"/>
      <c r="HC441" s="39"/>
      <c r="HD441" s="39">
        <f t="shared" si="1690"/>
        <v>0</v>
      </c>
      <c r="HE441" s="39"/>
      <c r="HF441" s="207"/>
      <c r="HG441" s="169"/>
    </row>
    <row r="442" spans="2:215" ht="19.149999999999999" hidden="1" customHeight="1" thickBot="1">
      <c r="B442" s="231"/>
      <c r="C442" s="199" t="s">
        <v>148</v>
      </c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  <c r="AC442" s="52"/>
      <c r="AD442" s="52"/>
      <c r="AE442" s="52"/>
      <c r="AF442" s="52"/>
      <c r="AG442" s="52"/>
      <c r="AH442" s="52"/>
      <c r="AI442" s="52"/>
      <c r="AJ442" s="52"/>
      <c r="AK442" s="52"/>
      <c r="AL442" s="52"/>
      <c r="AM442" s="52"/>
      <c r="AN442" s="52"/>
      <c r="AO442" s="52"/>
      <c r="AP442" s="52"/>
      <c r="AQ442" s="52"/>
      <c r="AR442" s="52"/>
      <c r="AS442" s="52"/>
      <c r="AT442" s="52"/>
      <c r="AU442" s="52"/>
      <c r="AV442" s="77"/>
      <c r="AW442" s="77"/>
      <c r="AX442" s="78"/>
      <c r="AY442" s="171"/>
      <c r="AZ442" s="171"/>
      <c r="BA442" s="171"/>
      <c r="BB442" s="171"/>
      <c r="BC442" s="52"/>
      <c r="BD442" s="52"/>
      <c r="BE442" s="22"/>
      <c r="BF442" s="52"/>
      <c r="BG442" s="52"/>
      <c r="BH442" s="22"/>
      <c r="BI442" s="22"/>
      <c r="BJ442" s="40"/>
      <c r="BK442" s="52"/>
      <c r="BL442" s="52"/>
      <c r="BM442" s="52"/>
      <c r="BN442" s="52"/>
      <c r="BO442" s="52"/>
      <c r="BP442" s="52"/>
      <c r="BQ442" s="52"/>
      <c r="BR442" s="52"/>
      <c r="BS442" s="52"/>
      <c r="BT442" s="52"/>
      <c r="BU442" s="52"/>
      <c r="BV442" s="52"/>
      <c r="BW442" s="52"/>
      <c r="BX442" s="52"/>
      <c r="BY442" s="52"/>
      <c r="BZ442" s="52"/>
      <c r="CA442" s="22"/>
      <c r="CB442" s="52"/>
      <c r="CC442" s="52"/>
      <c r="CD442" s="52"/>
      <c r="CE442" s="22"/>
      <c r="CF442" s="22"/>
      <c r="CG442" s="22"/>
      <c r="CH442" s="22"/>
      <c r="CI442" s="22"/>
      <c r="CJ442" s="22"/>
      <c r="CK442" s="22"/>
      <c r="CL442" s="22"/>
      <c r="CM442" s="22"/>
      <c r="CN442" s="22"/>
      <c r="CO442" s="22"/>
      <c r="CP442" s="22"/>
      <c r="CQ442" s="22"/>
      <c r="CR442" s="22"/>
      <c r="CS442" s="22"/>
      <c r="CT442" s="22"/>
      <c r="CU442" s="22"/>
      <c r="CV442" s="22"/>
      <c r="CW442" s="22"/>
      <c r="CX442" s="22"/>
      <c r="CY442" s="22"/>
      <c r="CZ442" s="22"/>
      <c r="DA442" s="20"/>
      <c r="DB442" s="20"/>
      <c r="DC442" s="51"/>
      <c r="DD442" s="51"/>
      <c r="DE442" s="22"/>
      <c r="DF442" s="22"/>
      <c r="DG442" s="22"/>
      <c r="DH442" s="22"/>
      <c r="DI442" s="39"/>
      <c r="DJ442" s="80"/>
      <c r="DK442" s="39"/>
      <c r="DL442" s="39"/>
      <c r="DM442" s="48"/>
      <c r="DN442" s="39"/>
      <c r="DO442" s="39"/>
      <c r="DP442" s="39"/>
      <c r="DQ442" s="39"/>
      <c r="DR442" s="39"/>
      <c r="DS442" s="39"/>
      <c r="DT442" s="39"/>
      <c r="DU442" s="39"/>
      <c r="DV442" s="48"/>
      <c r="DW442" s="48"/>
      <c r="DX442" s="21"/>
      <c r="DY442" s="20"/>
      <c r="DZ442" s="46"/>
      <c r="EA442" s="46"/>
      <c r="EB442" s="46"/>
      <c r="EC442" s="39"/>
      <c r="ED442" s="39"/>
      <c r="EE442" s="39"/>
      <c r="EF442" s="39"/>
      <c r="EG442" s="39"/>
      <c r="EH442" s="39"/>
      <c r="EI442" s="39"/>
      <c r="EJ442" s="22"/>
      <c r="EK442" s="39"/>
      <c r="EL442" s="19"/>
      <c r="EM442" s="19"/>
      <c r="EN442" s="21">
        <f>(1767233.8/9*12)</f>
        <v>2356311.7333333334</v>
      </c>
      <c r="EO442" s="21">
        <f>+EN442</f>
        <v>2356311.7333333334</v>
      </c>
      <c r="EP442" s="21"/>
      <c r="EQ442" s="21">
        <f t="shared" si="1623"/>
        <v>100</v>
      </c>
      <c r="ER442" s="21"/>
      <c r="ES442" s="21"/>
      <c r="ET442" s="21"/>
      <c r="EU442" s="21"/>
      <c r="EV442" s="21"/>
      <c r="EW442" s="39"/>
      <c r="EX442" s="39"/>
      <c r="EY442" s="39"/>
      <c r="EZ442" s="39"/>
      <c r="FA442" s="39"/>
      <c r="FB442" s="39"/>
      <c r="FC442" s="39"/>
      <c r="FD442" s="39"/>
      <c r="FE442" s="39"/>
      <c r="FF442" s="39"/>
      <c r="FG442" s="39"/>
      <c r="FH442" s="39"/>
      <c r="FI442" s="39"/>
      <c r="FJ442" s="46"/>
      <c r="FK442" s="46"/>
      <c r="FL442" s="46"/>
      <c r="FM442" s="46"/>
      <c r="FN442" s="46"/>
      <c r="FO442" s="39">
        <f t="shared" si="1624"/>
        <v>0</v>
      </c>
      <c r="FP442" s="39"/>
      <c r="FQ442" s="39"/>
      <c r="FR442" s="39">
        <f t="shared" si="1625"/>
        <v>0</v>
      </c>
      <c r="FS442" s="39"/>
      <c r="FT442" s="22"/>
      <c r="FU442" s="22"/>
      <c r="FV442" s="19">
        <f t="shared" si="1685"/>
        <v>0</v>
      </c>
      <c r="FW442" s="19">
        <f t="shared" si="1686"/>
        <v>0</v>
      </c>
      <c r="FX442" s="39"/>
      <c r="FY442" s="19">
        <f t="shared" si="1630"/>
        <v>0</v>
      </c>
      <c r="FZ442" s="39"/>
      <c r="GA442" s="39"/>
      <c r="GB442" s="39"/>
      <c r="GC442" s="20">
        <f t="shared" si="1687"/>
        <v>0</v>
      </c>
      <c r="GD442" s="21">
        <f t="shared" si="1669"/>
        <v>0</v>
      </c>
      <c r="GE442" s="21"/>
      <c r="GF442" s="21"/>
      <c r="GG442" s="21"/>
      <c r="GH442" s="21"/>
      <c r="GI442" s="21"/>
      <c r="GJ442" s="21"/>
      <c r="GK442" s="21"/>
      <c r="GL442" s="21"/>
      <c r="GM442" s="46"/>
      <c r="GN442" s="46"/>
      <c r="GO442" s="39">
        <f t="shared" si="1692"/>
        <v>0</v>
      </c>
      <c r="GP442" s="39"/>
      <c r="GQ442" s="39"/>
      <c r="GR442" s="39">
        <f t="shared" si="1688"/>
        <v>0</v>
      </c>
      <c r="GS442" s="39"/>
      <c r="GT442" s="22"/>
      <c r="GU442" s="169"/>
      <c r="GV442" s="19"/>
      <c r="GW442" s="19"/>
      <c r="GX442" s="19"/>
      <c r="GY442" s="19"/>
      <c r="GZ442" s="19"/>
      <c r="HA442" s="39">
        <f t="shared" si="1689"/>
        <v>0</v>
      </c>
      <c r="HB442" s="39"/>
      <c r="HC442" s="39"/>
      <c r="HD442" s="39">
        <f t="shared" si="1690"/>
        <v>0</v>
      </c>
      <c r="HE442" s="39"/>
      <c r="HF442" s="207"/>
      <c r="HG442" s="169"/>
    </row>
    <row r="443" spans="2:215" s="17" customFormat="1" ht="21.6" hidden="1" customHeight="1" thickBot="1">
      <c r="B443" s="7"/>
      <c r="C443" s="199" t="s">
        <v>148</v>
      </c>
      <c r="D443" s="80"/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  <c r="S443" s="80"/>
      <c r="T443" s="80"/>
      <c r="U443" s="80"/>
      <c r="V443" s="81"/>
      <c r="W443" s="81"/>
      <c r="X443" s="52">
        <f>+IF(V443=0,,W443/V443*100)</f>
        <v>0</v>
      </c>
      <c r="Y443" s="81"/>
      <c r="Z443" s="81"/>
      <c r="AA443" s="81"/>
      <c r="AB443" s="81"/>
      <c r="AC443" s="81"/>
      <c r="AD443" s="81"/>
      <c r="AE443" s="81"/>
      <c r="AF443" s="81"/>
      <c r="AG443" s="81"/>
      <c r="AH443" s="81"/>
      <c r="AI443" s="81"/>
      <c r="AJ443" s="81"/>
      <c r="AK443" s="81"/>
      <c r="AL443" s="22"/>
      <c r="AM443" s="81"/>
      <c r="AN443" s="81"/>
      <c r="AO443" s="81"/>
      <c r="AP443" s="81"/>
      <c r="AQ443" s="81"/>
      <c r="AR443" s="81"/>
      <c r="AS443" s="81"/>
      <c r="AT443" s="81"/>
      <c r="AU443" s="81"/>
      <c r="AV443" s="77"/>
      <c r="AW443" s="77"/>
      <c r="AX443" s="78"/>
      <c r="AY443" s="78"/>
      <c r="AZ443" s="78"/>
      <c r="BA443" s="78"/>
      <c r="BB443" s="78"/>
      <c r="BC443" s="81"/>
      <c r="BD443" s="81"/>
      <c r="BE443" s="22"/>
      <c r="BF443" s="81"/>
      <c r="BG443" s="81"/>
      <c r="BH443" s="22"/>
      <c r="BI443" s="22"/>
      <c r="BJ443" s="40"/>
      <c r="BK443" s="80"/>
      <c r="BL443" s="80"/>
      <c r="BM443" s="80"/>
      <c r="BN443" s="80"/>
      <c r="BO443" s="80"/>
      <c r="BP443" s="80"/>
      <c r="BQ443" s="80"/>
      <c r="BR443" s="80"/>
      <c r="BS443" s="80"/>
      <c r="BT443" s="80"/>
      <c r="BU443" s="48" t="e">
        <f>+BU430+BU431+BU432+BU437</f>
        <v>#REF!</v>
      </c>
      <c r="BV443" s="80"/>
      <c r="BW443" s="80"/>
      <c r="BX443" s="48">
        <f>+SUM(BX375+BX364+BX348+BX334+BX313+BX299+BX272+BX257+BX247+BX220+BX209+BX184+BX138+BX126+BX117+BX101+BX86+BX76+BX65+BX40+BX15+BX7)</f>
        <v>628863.86888387206</v>
      </c>
      <c r="BY443" s="48">
        <f>+SUM(BY375+BY364+BY348+BY334+BY313+BY299+BY272+BY257+BY247+BY220+BY209+BY184+BY138+BY126+BY117+BY101+BY86+BY76+BY65+BY40+BY15+BY7)</f>
        <v>89298.157954841503</v>
      </c>
      <c r="BZ443" s="80"/>
      <c r="CA443" s="80"/>
      <c r="CB443" s="48">
        <f>+SUM(CB375+CB364+CB348+CB334+CB313+CB299+CB272+CB257+CB247+CB220+CB209+CB184+CB138+CB126+CB117+CB101+CB86+CB76+CB65+CB40+CB15+CB7)</f>
        <v>672435.80924752413</v>
      </c>
      <c r="CC443" s="48">
        <f>+SUM(CC375+CC364+CC348+CC334+CC313+CC299+CC272+CC257+CC247+CC220+CC209+CC184+CC138+CC126+CC117+CC101+CC86+CC76+CC65+CC40+CC15+CC7)</f>
        <v>33283.855547737687</v>
      </c>
      <c r="CD443" s="80"/>
      <c r="CE443" s="80"/>
      <c r="CF443" s="80"/>
      <c r="CG443" s="80"/>
      <c r="CH443" s="80"/>
      <c r="CI443" s="80"/>
      <c r="CJ443" s="80"/>
      <c r="CK443" s="80"/>
      <c r="CL443" s="80"/>
      <c r="CM443" s="80"/>
      <c r="CN443" s="80"/>
      <c r="CO443" s="80"/>
      <c r="CP443" s="80"/>
      <c r="CQ443" s="80"/>
      <c r="CR443" s="80"/>
      <c r="CS443" s="80"/>
      <c r="CT443" s="80"/>
      <c r="CU443" s="80"/>
      <c r="CV443" s="80"/>
      <c r="CW443" s="48" t="e">
        <f>+SUM(CW375+CW364+CW348+CW334+CW313+CW299+CW272+CW257+CW247+CW220+CW209+CW184+CW138+CW126+CW117+CW101+CW86+CW76+CW65+CW40+CW15+CW7)</f>
        <v>#REF!</v>
      </c>
      <c r="CX443" s="48" t="e">
        <f>+SUM(CX375+CX364+CX348+CX334+CX313+CX299+CX272+CX257+CX247+CX220+CX209+CX184+CX138+CX126+CX117+CX101+CX86+CX76+CX65+CX40+CX15+CX7)</f>
        <v>#REF!</v>
      </c>
      <c r="CY443" s="48">
        <f>+SUM(CY375+CY364+CY348+CY334+CY313+CY299+CY272+CY257+CY247+CY220+CY209+CY184+CY138+CY126+CY117+CY101+CY86+CY76+CY65+CY40+CY15+CY7)</f>
        <v>662378.99156983406</v>
      </c>
      <c r="CZ443" s="48">
        <f>+SUM(CZ375+CZ364+CZ348+CZ334+CZ313+CZ299+CZ272+CZ257+CZ247+CZ220+CZ209+CZ184+CZ138+CZ126+CZ117+CZ101+CZ86+CZ76+CZ65+CZ40+CZ15+CZ7)</f>
        <v>746807.96624124772</v>
      </c>
      <c r="DA443" s="20" t="e">
        <f>+IF(CX443=0,,CW443/CX443*100)</f>
        <v>#REF!</v>
      </c>
      <c r="DB443" s="20">
        <f>+IF(CZ443=0,,CY443/CZ443*100)</f>
        <v>88.694687458095515</v>
      </c>
      <c r="DC443" s="80"/>
      <c r="DD443" s="80"/>
      <c r="DE443" s="80"/>
      <c r="DF443" s="80"/>
      <c r="DG443" s="80"/>
      <c r="DH443" s="80"/>
      <c r="DI443" s="81"/>
      <c r="DJ443" s="80"/>
      <c r="DK443" s="81"/>
      <c r="DL443" s="81"/>
      <c r="DM443" s="48">
        <f>+AT443-'[2]тарифы (12-13) население 15%'!AP548</f>
        <v>0</v>
      </c>
      <c r="DN443" s="81"/>
      <c r="DO443" s="81"/>
      <c r="DP443" s="81"/>
      <c r="DQ443" s="81"/>
      <c r="DR443" s="81"/>
      <c r="DS443" s="81"/>
      <c r="DT443" s="81"/>
      <c r="DU443" s="81"/>
      <c r="DV443" s="48" t="e">
        <f>+DV430+DV431+DV432+DV435+DV436+DV437+DV438+DV439+DV441</f>
        <v>#REF!</v>
      </c>
      <c r="DW443" s="48" t="e">
        <f>+DW430+DW431+DW432+DW435+DW436+DW437+DW438+DW439+DW441</f>
        <v>#REF!</v>
      </c>
      <c r="DX443" s="20">
        <f>+'[1]тарифы (НВВ) население на 4,2%'!CO569</f>
        <v>83.57841250675078</v>
      </c>
      <c r="DY443" s="20" t="e">
        <f>+IF(DW443=0,,DV443/DW443*100)</f>
        <v>#REF!</v>
      </c>
      <c r="DZ443" s="80"/>
      <c r="EA443" s="80"/>
      <c r="EB443" s="80"/>
      <c r="EC443" s="81"/>
      <c r="ED443" s="81"/>
      <c r="EE443" s="81"/>
      <c r="EF443" s="81"/>
      <c r="EG443" s="81"/>
      <c r="EH443" s="81"/>
      <c r="EI443" s="81"/>
      <c r="EJ443" s="22">
        <f t="shared" si="1662"/>
        <v>0</v>
      </c>
      <c r="EK443" s="81"/>
      <c r="EL443" s="48" t="e">
        <f>+SUM(EL430:EL441)</f>
        <v>#REF!</v>
      </c>
      <c r="EM443" s="48" t="e">
        <f>+SUM(EM430:EM441)</f>
        <v>#REF!</v>
      </c>
      <c r="EN443" s="20" t="e">
        <f>+EN438+EN429+EN428</f>
        <v>#REF!</v>
      </c>
      <c r="EO443" s="20" t="e">
        <f>+EO438+EO429+EO428</f>
        <v>#REF!</v>
      </c>
      <c r="EP443" s="20"/>
      <c r="EQ443" s="48" t="e">
        <f t="shared" si="1623"/>
        <v>#REF!</v>
      </c>
      <c r="ER443" s="48"/>
      <c r="ES443" s="48"/>
      <c r="ET443" s="48"/>
      <c r="EU443" s="48"/>
      <c r="EV443" s="48"/>
      <c r="EW443" s="81"/>
      <c r="EX443" s="81"/>
      <c r="EY443" s="81"/>
      <c r="EZ443" s="81"/>
      <c r="FA443" s="81"/>
      <c r="FB443" s="81"/>
      <c r="FC443" s="81"/>
      <c r="FD443" s="81"/>
      <c r="FE443" s="81"/>
      <c r="FF443" s="81"/>
      <c r="FG443" s="81"/>
      <c r="FH443" s="81"/>
      <c r="FI443" s="81"/>
      <c r="FJ443" s="80"/>
      <c r="FK443" s="80"/>
      <c r="FL443" s="80"/>
      <c r="FM443" s="46"/>
      <c r="FN443" s="46"/>
      <c r="FO443" s="81">
        <f t="shared" si="1624"/>
        <v>0</v>
      </c>
      <c r="FP443" s="81"/>
      <c r="FQ443" s="81"/>
      <c r="FR443" s="81">
        <f t="shared" si="1625"/>
        <v>0</v>
      </c>
      <c r="FS443" s="81"/>
      <c r="FT443" s="22"/>
      <c r="FU443" s="22"/>
      <c r="FV443" s="19" t="e">
        <f t="shared" si="1685"/>
        <v>#REF!</v>
      </c>
      <c r="FW443" s="19" t="e">
        <f t="shared" si="1686"/>
        <v>#REF!</v>
      </c>
      <c r="FX443" s="81"/>
      <c r="FY443" s="48" t="e">
        <f>+FY428+FY429+FY438</f>
        <v>#REF!</v>
      </c>
      <c r="FZ443" s="48" t="e">
        <f>+FZ428+FZ429</f>
        <v>#REF!</v>
      </c>
      <c r="GA443" s="48" t="e">
        <f>+GA428+GA429</f>
        <v>#REF!</v>
      </c>
      <c r="GB443" s="48" t="e">
        <f t="shared" ref="GB443" si="1698">+GB428+GB429</f>
        <v>#REF!</v>
      </c>
      <c r="GC443" s="48" t="e">
        <f t="shared" si="1687"/>
        <v>#REF!</v>
      </c>
      <c r="GD443" s="48" t="e">
        <f t="shared" si="1669"/>
        <v>#REF!</v>
      </c>
      <c r="GE443" s="48"/>
      <c r="GF443" s="48"/>
      <c r="GG443" s="48"/>
      <c r="GH443" s="48"/>
      <c r="GI443" s="48"/>
      <c r="GJ443" s="48"/>
      <c r="GK443" s="48"/>
      <c r="GL443" s="48"/>
      <c r="GM443" s="46"/>
      <c r="GN443" s="46"/>
      <c r="GO443" s="81">
        <f t="shared" si="1692"/>
        <v>0</v>
      </c>
      <c r="GP443" s="81"/>
      <c r="GQ443" s="81"/>
      <c r="GR443" s="81">
        <f t="shared" si="1688"/>
        <v>0</v>
      </c>
      <c r="GS443" s="81"/>
      <c r="GT443" s="22"/>
      <c r="GU443" s="169"/>
      <c r="GV443" s="19"/>
      <c r="GW443" s="19"/>
      <c r="GX443" s="19" t="e">
        <f>+GX428+GX429+GX438</f>
        <v>#REF!</v>
      </c>
      <c r="GY443" s="19" t="e">
        <f>+GY428+GY429+GY438</f>
        <v>#REF!</v>
      </c>
      <c r="GZ443" s="19" t="e">
        <f t="shared" ref="GZ443" si="1699">+IF(GY443=0,,GX443/GY443*100)</f>
        <v>#REF!</v>
      </c>
      <c r="HA443" s="81">
        <f t="shared" si="1689"/>
        <v>0</v>
      </c>
      <c r="HB443" s="81"/>
      <c r="HC443" s="81"/>
      <c r="HD443" s="81">
        <f t="shared" si="1690"/>
        <v>0</v>
      </c>
      <c r="HE443" s="81"/>
      <c r="HF443" s="207"/>
      <c r="HG443" s="169"/>
    </row>
    <row r="444" spans="2:215" ht="15" hidden="1" customHeight="1">
      <c r="C444" s="199" t="s">
        <v>148</v>
      </c>
      <c r="D444" s="208"/>
      <c r="E444" s="46"/>
      <c r="F444" s="46"/>
      <c r="G444" s="46"/>
      <c r="H444" s="46"/>
      <c r="I444" s="46"/>
      <c r="J444" s="46"/>
      <c r="K444" s="46"/>
      <c r="L444" s="46"/>
      <c r="M444" s="19" t="e">
        <f>+#REF!+#REF!+#REF!+#REF!+#REF!+#REF!+M241+#REF!+#REF!+#REF!+#REF!+#REF!</f>
        <v>#REF!</v>
      </c>
      <c r="N444" s="46"/>
      <c r="O444" s="46"/>
      <c r="P444" s="46"/>
      <c r="Q444" s="46"/>
      <c r="R444" s="46"/>
      <c r="S444" s="46"/>
      <c r="T444" s="46"/>
      <c r="U444" s="46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  <c r="AX444" s="39"/>
      <c r="AY444" s="39"/>
      <c r="AZ444" s="39"/>
      <c r="BA444" s="39"/>
      <c r="BB444" s="39"/>
      <c r="BC444" s="39"/>
      <c r="BD444" s="39"/>
      <c r="BE444" s="39"/>
      <c r="BF444" s="39"/>
      <c r="BG444" s="39"/>
      <c r="BH444" s="39"/>
      <c r="BI444" s="39"/>
      <c r="BJ444" s="39"/>
      <c r="BK444" s="46"/>
      <c r="BL444" s="46"/>
      <c r="BM444" s="46"/>
      <c r="BN444" s="46"/>
      <c r="BO444" s="46"/>
      <c r="BP444" s="46"/>
      <c r="BQ444" s="46"/>
      <c r="BR444" s="46"/>
      <c r="BS444" s="46"/>
      <c r="BT444" s="46"/>
      <c r="BU444" s="46"/>
      <c r="BV444" s="46"/>
      <c r="BW444" s="46"/>
      <c r="BX444" s="19">
        <f>+SUM(BX7:BX410)</f>
        <v>1257727.7377677441</v>
      </c>
      <c r="BY444" s="19"/>
      <c r="BZ444" s="19"/>
      <c r="CA444" s="19"/>
      <c r="CB444" s="19">
        <f>+SUM(CB7:CB410)</f>
        <v>1344871.618495048</v>
      </c>
      <c r="CC444" s="46"/>
      <c r="CD444" s="46"/>
      <c r="CE444" s="46"/>
      <c r="CF444" s="148"/>
      <c r="CG444" s="46"/>
      <c r="CH444" s="46"/>
      <c r="CI444" s="46"/>
      <c r="CJ444" s="19"/>
      <c r="CK444" s="46"/>
      <c r="CL444" s="46"/>
      <c r="CM444" s="46"/>
      <c r="CN444" s="46"/>
      <c r="CO444" s="46"/>
      <c r="CP444" s="46"/>
      <c r="CQ444" s="46"/>
      <c r="CR444" s="46"/>
      <c r="CS444" s="46"/>
      <c r="CT444" s="46"/>
      <c r="CU444" s="46"/>
      <c r="CV444" s="46"/>
      <c r="CW444" s="46"/>
      <c r="CX444" s="46"/>
      <c r="CY444" s="39"/>
      <c r="CZ444" s="39"/>
      <c r="DA444" s="39"/>
      <c r="DB444" s="39"/>
      <c r="DC444" s="46"/>
      <c r="DD444" s="46"/>
      <c r="DE444" s="79" t="e">
        <f>+DE430+DG430</f>
        <v>#REF!</v>
      </c>
      <c r="DF444" s="79"/>
      <c r="DG444" s="46"/>
      <c r="DH444" s="46"/>
      <c r="DI444" s="39"/>
      <c r="DJ444" s="48" t="e">
        <f>+DJ430+DJ431+DJ436+DJ432+DJ437</f>
        <v>#REF!</v>
      </c>
      <c r="DK444" s="48" t="e">
        <f>+DK430+DK431+DK436+DK432+DK437</f>
        <v>#REF!</v>
      </c>
      <c r="DL444" s="48" t="e">
        <f>+DL430+DL431+DL436+DL432+DL437</f>
        <v>#REF!</v>
      </c>
      <c r="DM444" s="39"/>
      <c r="DN444" s="39"/>
      <c r="DO444" s="39"/>
      <c r="DP444" s="39"/>
      <c r="DQ444" s="39"/>
      <c r="DR444" s="39"/>
      <c r="DS444" s="39"/>
      <c r="DT444" s="39"/>
      <c r="DU444" s="39"/>
      <c r="DV444" s="39"/>
      <c r="DW444" s="39"/>
      <c r="DX444" s="46"/>
      <c r="DY444" s="46"/>
      <c r="DZ444" s="46"/>
      <c r="EA444" s="46"/>
      <c r="EB444" s="46"/>
      <c r="EC444" s="39"/>
      <c r="ED444" s="39"/>
      <c r="EE444" s="39"/>
      <c r="EF444" s="39"/>
      <c r="EG444" s="39"/>
      <c r="EH444" s="39"/>
      <c r="EI444" s="39"/>
      <c r="EJ444" s="39"/>
      <c r="EK444" s="39"/>
      <c r="EL444" s="46"/>
      <c r="EM444" s="46"/>
      <c r="EN444" s="181"/>
      <c r="EO444" s="39"/>
      <c r="EP444" s="39"/>
      <c r="EQ444" s="39"/>
      <c r="ER444" s="39"/>
      <c r="ES444" s="39"/>
      <c r="ET444" s="39"/>
      <c r="EU444" s="39"/>
      <c r="EV444" s="39"/>
      <c r="EW444" s="39"/>
      <c r="EX444" s="39"/>
      <c r="EY444" s="39"/>
      <c r="EZ444" s="39"/>
      <c r="FA444" s="39"/>
      <c r="FB444" s="39"/>
      <c r="FC444" s="39"/>
      <c r="FD444" s="39"/>
      <c r="FE444" s="39"/>
      <c r="FF444" s="39"/>
      <c r="FG444" s="39"/>
      <c r="FH444" s="39"/>
      <c r="FI444" s="39"/>
      <c r="FJ444" s="46"/>
      <c r="FK444" s="46"/>
      <c r="FL444" s="46"/>
      <c r="FM444" s="46"/>
      <c r="FN444" s="46"/>
      <c r="FO444" s="39"/>
      <c r="FP444" s="46"/>
      <c r="FQ444" s="46"/>
      <c r="FR444" s="39"/>
      <c r="FS444" s="39"/>
      <c r="FT444" s="46"/>
      <c r="FU444" s="46"/>
      <c r="FV444" s="39"/>
      <c r="FW444" s="39"/>
      <c r="FX444" s="39"/>
      <c r="FY444" s="39"/>
      <c r="FZ444" s="39"/>
      <c r="GA444" s="39"/>
      <c r="GB444" s="39"/>
      <c r="GC444" s="46"/>
      <c r="GD444" s="46"/>
      <c r="GE444" s="39"/>
      <c r="GF444" s="39"/>
      <c r="GG444" s="39"/>
      <c r="GH444" s="39"/>
      <c r="GI444" s="39"/>
      <c r="GJ444" s="39"/>
      <c r="GK444" s="39" t="e">
        <f>+GK418/GG418</f>
        <v>#REF!</v>
      </c>
      <c r="GL444" s="39"/>
      <c r="GM444" s="46"/>
      <c r="GN444" s="46"/>
      <c r="GO444" s="39"/>
      <c r="GP444" s="46"/>
      <c r="GQ444" s="46"/>
      <c r="GR444" s="39"/>
      <c r="GS444" s="39"/>
      <c r="GT444" s="46"/>
      <c r="GU444" s="172"/>
      <c r="GV444" s="39"/>
      <c r="GW444" s="39"/>
      <c r="GX444" s="39"/>
      <c r="GY444" s="39"/>
      <c r="GZ444" s="39"/>
      <c r="HA444" s="39"/>
      <c r="HB444" s="46"/>
      <c r="HC444" s="46"/>
      <c r="HD444" s="39"/>
      <c r="HE444" s="39"/>
      <c r="HF444" s="209"/>
      <c r="HG444" s="172"/>
    </row>
    <row r="445" spans="2:215" ht="18" hidden="1" customHeight="1">
      <c r="C445" s="199" t="s">
        <v>148</v>
      </c>
      <c r="D445" s="19"/>
      <c r="E445" s="46"/>
      <c r="F445" s="46"/>
      <c r="G445" s="46"/>
      <c r="H445" s="46"/>
      <c r="I445" s="46"/>
      <c r="J445" s="46"/>
      <c r="K445" s="46"/>
      <c r="L445" s="46"/>
      <c r="M445" s="164" t="e">
        <f>+#REF!+M397+#REF!+#REF!+#REF!+#REF!+M359+#REF!+M325+M322+#REF!+#REF!+#REF!+#REF!+M287+M285+#REF!+#REF!+M282+M266+#REF!+#REF!+M254+#REF!+M239+#REF!+M199+#REF!+M197+M195+M156+#REF!+#REF!+#REF!+M112+M110+#REF!+#REF!+#REF!+#REF!+M71+#REF!+#REF!+#REF!+M52+M50+#REF!+#REF!+M30+#REF!+M28+#REF!+M26+#REF!+#REF!</f>
        <v>#REF!</v>
      </c>
      <c r="N445" s="210"/>
      <c r="O445" s="210"/>
      <c r="P445" s="210"/>
      <c r="Q445" s="210"/>
      <c r="R445" s="46"/>
      <c r="S445" s="46"/>
      <c r="T445" s="46"/>
      <c r="U445" s="46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  <c r="AX445" s="39"/>
      <c r="AY445" s="79"/>
      <c r="AZ445" s="39"/>
      <c r="BA445" s="39"/>
      <c r="BB445" s="39"/>
      <c r="BC445" s="39"/>
      <c r="BD445" s="39"/>
      <c r="BE445" s="39"/>
      <c r="BF445" s="39"/>
      <c r="BG445" s="39"/>
      <c r="BH445" s="39"/>
      <c r="BI445" s="39"/>
      <c r="BJ445" s="39" t="s">
        <v>529</v>
      </c>
      <c r="BK445" s="19" t="e">
        <f>+BK430+BO430+BS430</f>
        <v>#REF!</v>
      </c>
      <c r="BL445" s="46"/>
      <c r="BM445" s="46"/>
      <c r="BN445" s="46"/>
      <c r="BO445" s="46"/>
      <c r="BP445" s="46"/>
      <c r="BQ445" s="46"/>
      <c r="BR445" s="46"/>
      <c r="BS445" s="46"/>
      <c r="BT445" s="46"/>
      <c r="BU445" s="46"/>
      <c r="BV445" s="46"/>
      <c r="BW445" s="19" t="e">
        <f>+BW430+CA430</f>
        <v>#REF!</v>
      </c>
      <c r="BX445" s="46">
        <f>+BX444/2-BX443</f>
        <v>0</v>
      </c>
      <c r="BY445" s="46"/>
      <c r="BZ445" s="46"/>
      <c r="CA445" s="46"/>
      <c r="CB445" s="46">
        <f>+CB444/2-CB443</f>
        <v>0</v>
      </c>
      <c r="CC445" s="46"/>
      <c r="CD445" s="46"/>
      <c r="CE445" s="46" t="e">
        <f t="shared" ref="CE445:CJ445" si="1700">+CE431*1.18</f>
        <v>#REF!</v>
      </c>
      <c r="CF445" s="46" t="e">
        <f t="shared" si="1700"/>
        <v>#REF!</v>
      </c>
      <c r="CG445" s="46" t="e">
        <f t="shared" si="1700"/>
        <v>#REF!</v>
      </c>
      <c r="CH445" s="46" t="e">
        <f t="shared" si="1700"/>
        <v>#REF!</v>
      </c>
      <c r="CI445" s="46" t="e">
        <f t="shared" si="1700"/>
        <v>#REF!</v>
      </c>
      <c r="CJ445" s="46" t="e">
        <f t="shared" si="1700"/>
        <v>#REF!</v>
      </c>
      <c r="CK445" s="46" t="e">
        <f>+CK431*1.18</f>
        <v>#REF!</v>
      </c>
      <c r="CL445" s="46" t="e">
        <f>+CL431*1.18</f>
        <v>#REF!</v>
      </c>
      <c r="CM445" s="46" t="e">
        <f>+CM431*1.18</f>
        <v>#REF!</v>
      </c>
      <c r="CN445" s="46" t="e">
        <f t="shared" ref="CN445:CS445" si="1701">+CN431*1.18</f>
        <v>#REF!</v>
      </c>
      <c r="CO445" s="46" t="e">
        <f t="shared" si="1701"/>
        <v>#REF!</v>
      </c>
      <c r="CP445" s="46" t="e">
        <f t="shared" si="1701"/>
        <v>#REF!</v>
      </c>
      <c r="CQ445" s="46" t="e">
        <f t="shared" si="1701"/>
        <v>#REF!</v>
      </c>
      <c r="CR445" s="46" t="e">
        <f t="shared" si="1701"/>
        <v>#REF!</v>
      </c>
      <c r="CS445" s="46" t="e">
        <f t="shared" si="1701"/>
        <v>#REF!</v>
      </c>
      <c r="CT445" s="46" t="e">
        <f>+CT431*1.18</f>
        <v>#REF!</v>
      </c>
      <c r="CU445" s="46"/>
      <c r="CV445" s="46"/>
      <c r="CW445" s="46"/>
      <c r="CX445" s="46"/>
      <c r="CY445" s="39"/>
      <c r="CZ445" s="39"/>
      <c r="DA445" s="39"/>
      <c r="DB445" s="39"/>
      <c r="DC445" s="46"/>
      <c r="DD445" s="46"/>
      <c r="DE445" s="79" t="e">
        <f>+DE431+DG431</f>
        <v>#REF!</v>
      </c>
      <c r="DF445" s="79"/>
      <c r="DG445" s="46"/>
      <c r="DH445" s="46"/>
      <c r="DI445" s="39"/>
      <c r="DJ445" s="80"/>
      <c r="DK445" s="39"/>
      <c r="DL445" s="39"/>
      <c r="DM445" s="39"/>
      <c r="DN445" s="39"/>
      <c r="DO445" s="39"/>
      <c r="DP445" s="39"/>
      <c r="DQ445" s="39"/>
      <c r="DR445" s="39"/>
      <c r="DS445" s="39"/>
      <c r="DT445" s="39"/>
      <c r="DU445" s="39"/>
      <c r="DV445" s="79"/>
      <c r="DW445" s="164"/>
      <c r="DX445" s="21"/>
      <c r="DY445" s="21"/>
      <c r="DZ445" s="46"/>
      <c r="EA445" s="46"/>
      <c r="EB445" s="46"/>
      <c r="EC445" s="39"/>
      <c r="ED445" s="39"/>
      <c r="EE445" s="39"/>
      <c r="EF445" s="39"/>
      <c r="EG445" s="39"/>
      <c r="EH445" s="39"/>
      <c r="EI445" s="39"/>
      <c r="EJ445" s="39"/>
      <c r="EK445" s="39"/>
      <c r="EL445" s="46"/>
      <c r="EM445" s="46"/>
      <c r="EN445" s="21" t="e">
        <f>+EN443-EN442</f>
        <v>#REF!</v>
      </c>
      <c r="EO445" s="21" t="e">
        <f>+EO443-EO442</f>
        <v>#REF!</v>
      </c>
      <c r="EP445" s="39"/>
      <c r="EQ445" s="39"/>
      <c r="ER445" s="39"/>
      <c r="ES445" s="39"/>
      <c r="ET445" s="39"/>
      <c r="EU445" s="39"/>
      <c r="EV445" s="39"/>
      <c r="EW445" s="39"/>
      <c r="EX445" s="39"/>
      <c r="EY445" s="39"/>
      <c r="EZ445" s="39"/>
      <c r="FA445" s="39"/>
      <c r="FB445" s="39"/>
      <c r="FC445" s="39"/>
      <c r="FD445" s="39"/>
      <c r="FE445" s="39"/>
      <c r="FF445" s="39"/>
      <c r="FG445" s="39"/>
      <c r="FH445" s="39"/>
      <c r="FI445" s="39"/>
      <c r="FJ445" s="46"/>
      <c r="FK445" s="46"/>
      <c r="FL445" s="46"/>
      <c r="FM445" s="19"/>
      <c r="FN445" s="19"/>
      <c r="FO445" s="166"/>
      <c r="FP445" s="19"/>
      <c r="FQ445" s="19"/>
      <c r="FR445" s="39"/>
      <c r="FS445" s="39"/>
      <c r="FT445" s="46"/>
      <c r="FU445" s="46"/>
      <c r="FV445" s="39"/>
      <c r="FW445" s="19"/>
      <c r="FX445" s="39"/>
      <c r="FY445" s="166"/>
      <c r="FZ445" s="166"/>
      <c r="GA445" s="166"/>
      <c r="GB445" s="166"/>
      <c r="GC445" s="46"/>
      <c r="GD445" s="46"/>
      <c r="GE445" s="39"/>
      <c r="GF445" s="39"/>
      <c r="GG445" s="39"/>
      <c r="GH445" s="39"/>
      <c r="GI445" s="39"/>
      <c r="GJ445" s="39"/>
      <c r="GK445" s="39" t="e">
        <f>+GK420/GG420</f>
        <v>#REF!</v>
      </c>
      <c r="GL445" s="166" t="e">
        <f>+GK420+GK423</f>
        <v>#REF!</v>
      </c>
      <c r="GM445" s="19"/>
      <c r="GN445" s="19"/>
      <c r="GO445" s="39"/>
      <c r="GP445" s="46"/>
      <c r="GQ445" s="46"/>
      <c r="GR445" s="39"/>
      <c r="GS445" s="39"/>
      <c r="GT445" s="46"/>
      <c r="GU445" s="172"/>
      <c r="GV445" s="39"/>
      <c r="GW445" s="19"/>
      <c r="GX445" s="19"/>
      <c r="GY445" s="19"/>
      <c r="GZ445" s="19"/>
      <c r="HA445" s="39"/>
      <c r="HB445" s="46"/>
      <c r="HC445" s="46"/>
      <c r="HD445" s="39"/>
      <c r="HE445" s="39"/>
      <c r="HF445" s="209"/>
      <c r="HG445" s="172"/>
    </row>
    <row r="446" spans="2:215" ht="15.75" hidden="1">
      <c r="C446" s="199" t="s">
        <v>148</v>
      </c>
      <c r="D446" s="206"/>
      <c r="E446" s="46"/>
      <c r="F446" s="46"/>
      <c r="G446" s="46"/>
      <c r="H446" s="46"/>
      <c r="I446" s="46"/>
      <c r="J446" s="46"/>
      <c r="K446" s="46"/>
      <c r="L446" s="46"/>
      <c r="M446" s="211"/>
      <c r="N446" s="46"/>
      <c r="O446" s="210"/>
      <c r="P446" s="46"/>
      <c r="Q446" s="46"/>
      <c r="R446" s="46"/>
      <c r="S446" s="46"/>
      <c r="T446" s="46"/>
      <c r="U446" s="46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  <c r="AX446" s="39"/>
      <c r="AY446" s="79" t="e">
        <f>+#REF!+#REF!+#REF!+#REF!+AY359+#REF!+#REF!+AY287+AY285+#REF!+AY282+#REF!+#REF!+AY52+#REF!+AY30+AY28+AY26+#REF!</f>
        <v>#REF!</v>
      </c>
      <c r="AZ446" s="79" t="e">
        <f>+#REF!+#REF!+#REF!+#REF!+AZ359+#REF!+#REF!+AZ287+AZ285+#REF!+AZ282+#REF!+#REF!+AZ52+#REF!+AZ30+AZ28+AZ26+#REF!</f>
        <v>#REF!</v>
      </c>
      <c r="BA446" s="39"/>
      <c r="BB446" s="39"/>
      <c r="BC446" s="39"/>
      <c r="BD446" s="39"/>
      <c r="BE446" s="39"/>
      <c r="BF446" s="39"/>
      <c r="BG446" s="39"/>
      <c r="BH446" s="39"/>
      <c r="BI446" s="39"/>
      <c r="BJ446" s="39" t="s">
        <v>110</v>
      </c>
      <c r="BK446" s="19" t="e">
        <f>+BK431+BO431+BS431</f>
        <v>#REF!</v>
      </c>
      <c r="BL446" s="46"/>
      <c r="BM446" s="46"/>
      <c r="BN446" s="46"/>
      <c r="BO446" s="46"/>
      <c r="BP446" s="46"/>
      <c r="BQ446" s="46"/>
      <c r="BR446" s="46"/>
      <c r="BS446" s="46"/>
      <c r="BT446" s="46"/>
      <c r="BU446" s="46"/>
      <c r="BV446" s="46"/>
      <c r="BW446" s="19" t="e">
        <f>+BW431+CA431</f>
        <v>#REF!</v>
      </c>
      <c r="BX446" s="46"/>
      <c r="BY446" s="46"/>
      <c r="BZ446" s="46"/>
      <c r="CA446" s="46"/>
      <c r="CB446" s="46"/>
      <c r="CC446" s="46"/>
      <c r="CD446" s="46"/>
      <c r="CE446" s="46"/>
      <c r="CF446" s="46"/>
      <c r="CG446" s="46"/>
      <c r="CH446" s="46"/>
      <c r="CI446" s="46"/>
      <c r="CJ446" s="46"/>
      <c r="CK446" s="46"/>
      <c r="CL446" s="46"/>
      <c r="CM446" s="46"/>
      <c r="CN446" s="46"/>
      <c r="CO446" s="46"/>
      <c r="CP446" s="46"/>
      <c r="CQ446" s="46"/>
      <c r="CR446" s="46"/>
      <c r="CS446" s="46"/>
      <c r="CT446" s="46"/>
      <c r="CU446" s="46"/>
      <c r="CV446" s="46"/>
      <c r="CW446" s="46"/>
      <c r="CX446" s="46"/>
      <c r="CY446" s="39"/>
      <c r="CZ446" s="39"/>
      <c r="DA446" s="39"/>
      <c r="DB446" s="39"/>
      <c r="DC446" s="46"/>
      <c r="DD446" s="46"/>
      <c r="DE446" s="79" t="e">
        <f>+DE432+DG432</f>
        <v>#REF!</v>
      </c>
      <c r="DF446" s="79"/>
      <c r="DG446" s="46"/>
      <c r="DH446" s="46"/>
      <c r="DI446" s="39"/>
      <c r="DJ446" s="80"/>
      <c r="DK446" s="39"/>
      <c r="DL446" s="39"/>
      <c r="DM446" s="39"/>
      <c r="DN446" s="39"/>
      <c r="DO446" s="39"/>
      <c r="DP446" s="39"/>
      <c r="DQ446" s="39"/>
      <c r="DR446" s="39"/>
      <c r="DS446" s="39"/>
      <c r="DT446" s="39"/>
      <c r="DU446" s="39"/>
      <c r="DV446" s="166">
        <f>+'[1]тарифы (НВВ) население на 4,2%'!CL569+2197925.4</f>
        <v>7266206.6150041744</v>
      </c>
      <c r="DW446" s="166">
        <f>+'[1]тарифы (НВВ) население на 4,2%'!CM569+2197925.4</f>
        <v>8262028.6331103444</v>
      </c>
      <c r="DX446" s="20">
        <f>+DV446/DW446*100</f>
        <v>87.947003546860387</v>
      </c>
      <c r="DY446" s="46"/>
      <c r="DZ446" s="46"/>
      <c r="EA446" s="46"/>
      <c r="EB446" s="46"/>
      <c r="EC446" s="39"/>
      <c r="ED446" s="39"/>
      <c r="EE446" s="39"/>
      <c r="EF446" s="39"/>
      <c r="EG446" s="39"/>
      <c r="EH446" s="39"/>
      <c r="EI446" s="39"/>
      <c r="EJ446" s="39"/>
      <c r="EK446" s="39"/>
      <c r="EL446" s="19" t="e">
        <f>+EL432-EL399</f>
        <v>#REF!</v>
      </c>
      <c r="EM446" s="46"/>
      <c r="EN446" s="181"/>
      <c r="EO446" s="181"/>
      <c r="EP446" s="39"/>
      <c r="EQ446" s="39"/>
      <c r="ER446" s="39"/>
      <c r="ES446" s="39"/>
      <c r="ET446" s="39"/>
      <c r="EU446" s="39"/>
      <c r="EV446" s="39"/>
      <c r="EW446" s="39"/>
      <c r="EX446" s="39"/>
      <c r="EY446" s="39"/>
      <c r="EZ446" s="39"/>
      <c r="FA446" s="39"/>
      <c r="FB446" s="39"/>
      <c r="FC446" s="39"/>
      <c r="FD446" s="39"/>
      <c r="FE446" s="39"/>
      <c r="FF446" s="39"/>
      <c r="FG446" s="39"/>
      <c r="FH446" s="39"/>
      <c r="FI446" s="39"/>
      <c r="FJ446" s="19"/>
      <c r="FK446" s="19"/>
      <c r="FL446" s="46"/>
      <c r="FM446" s="95"/>
      <c r="FN446" s="46"/>
      <c r="FO446" s="39"/>
      <c r="FP446" s="46"/>
      <c r="FQ446" s="46"/>
      <c r="FR446" s="39"/>
      <c r="FS446" s="39"/>
      <c r="FT446" s="46"/>
      <c r="FU446" s="46"/>
      <c r="FV446" s="39"/>
      <c r="FW446" s="166"/>
      <c r="FX446" s="39"/>
      <c r="FY446" s="166"/>
      <c r="FZ446" s="19"/>
      <c r="GA446" s="19"/>
      <c r="GB446" s="39"/>
      <c r="GC446" s="46"/>
      <c r="GD446" s="46"/>
      <c r="GE446" s="39"/>
      <c r="GF446" s="39"/>
      <c r="GG446" s="39"/>
      <c r="GH446" s="39"/>
      <c r="GI446" s="39"/>
      <c r="GJ446" s="39"/>
      <c r="GK446" s="39" t="e">
        <f>+GK423/GG423</f>
        <v>#REF!</v>
      </c>
      <c r="GL446" s="166" t="e">
        <f>+GG420+GG423</f>
        <v>#REF!</v>
      </c>
      <c r="GM446" s="95"/>
      <c r="GN446" s="46"/>
      <c r="GO446" s="39"/>
      <c r="GP446" s="46"/>
      <c r="GQ446" s="46"/>
      <c r="GR446" s="39"/>
      <c r="GS446" s="39"/>
      <c r="GT446" s="46"/>
      <c r="GU446" s="172"/>
      <c r="GV446" s="39"/>
      <c r="GW446" s="166"/>
      <c r="GX446" s="166"/>
      <c r="GY446" s="166"/>
      <c r="GZ446" s="166"/>
      <c r="HA446" s="39"/>
      <c r="HB446" s="46"/>
      <c r="HC446" s="46"/>
      <c r="HD446" s="39"/>
      <c r="HE446" s="39"/>
      <c r="HF446" s="209"/>
      <c r="HG446" s="172"/>
    </row>
    <row r="447" spans="2:215" ht="15.75" hidden="1">
      <c r="C447" s="199" t="s">
        <v>148</v>
      </c>
      <c r="D447" s="19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  <c r="AX447" s="39"/>
      <c r="AY447" s="19" t="e">
        <f>+AY446/AY418*100</f>
        <v>#REF!</v>
      </c>
      <c r="AZ447" s="39"/>
      <c r="BA447" s="39"/>
      <c r="BB447" s="39"/>
      <c r="BC447" s="39"/>
      <c r="BD447" s="39"/>
      <c r="BE447" s="39"/>
      <c r="BF447" s="39"/>
      <c r="BG447" s="39"/>
      <c r="BH447" s="39"/>
      <c r="BI447" s="39"/>
      <c r="BJ447" s="39" t="s">
        <v>530</v>
      </c>
      <c r="BK447" s="19" t="e">
        <f>+BK432+BO432+BS432</f>
        <v>#REF!</v>
      </c>
      <c r="BL447" s="46"/>
      <c r="BM447" s="46"/>
      <c r="BN447" s="46"/>
      <c r="BO447" s="46"/>
      <c r="BP447" s="46"/>
      <c r="BQ447" s="46"/>
      <c r="BR447" s="46"/>
      <c r="BS447" s="46"/>
      <c r="BT447" s="46"/>
      <c r="BU447" s="46"/>
      <c r="BV447" s="46"/>
      <c r="BW447" s="19" t="e">
        <f>+BW432+CA432</f>
        <v>#REF!</v>
      </c>
      <c r="BX447" s="46"/>
      <c r="BY447" s="46"/>
      <c r="BZ447" s="46"/>
      <c r="CA447" s="46"/>
      <c r="CB447" s="46"/>
      <c r="CC447" s="46"/>
      <c r="CD447" s="46"/>
      <c r="CE447" s="46"/>
      <c r="CF447" s="46"/>
      <c r="CG447" s="46"/>
      <c r="CH447" s="46"/>
      <c r="CI447" s="46"/>
      <c r="CJ447" s="46"/>
      <c r="CK447" s="46"/>
      <c r="CL447" s="46"/>
      <c r="CM447" s="46"/>
      <c r="CN447" s="46"/>
      <c r="CO447" s="46"/>
      <c r="CP447" s="46"/>
      <c r="CQ447" s="46"/>
      <c r="CR447" s="46"/>
      <c r="CS447" s="46"/>
      <c r="CT447" s="46"/>
      <c r="CU447" s="46"/>
      <c r="CV447" s="46"/>
      <c r="CW447" s="46"/>
      <c r="CX447" s="46"/>
      <c r="CY447" s="39"/>
      <c r="CZ447" s="39"/>
      <c r="DA447" s="39"/>
      <c r="DB447" s="39"/>
      <c r="DC447" s="46"/>
      <c r="DD447" s="46"/>
      <c r="DE447" s="79" t="e">
        <f>+DE436+DG436</f>
        <v>#REF!</v>
      </c>
      <c r="DF447" s="79"/>
      <c r="DG447" s="46"/>
      <c r="DH447" s="46"/>
      <c r="DI447" s="39"/>
      <c r="DJ447" s="80"/>
      <c r="DK447" s="39"/>
      <c r="DL447" s="39"/>
      <c r="DM447" s="39"/>
      <c r="DN447" s="39"/>
      <c r="DO447" s="39"/>
      <c r="DP447" s="39"/>
      <c r="DQ447" s="39"/>
      <c r="DR447" s="39"/>
      <c r="DS447" s="39"/>
      <c r="DT447" s="39"/>
      <c r="DU447" s="39"/>
      <c r="DV447" s="166" t="e">
        <f>+DV443+2210630.014</f>
        <v>#REF!</v>
      </c>
      <c r="DW447" s="166" t="e">
        <f>+DW443+2210630.014</f>
        <v>#REF!</v>
      </c>
      <c r="DX447" s="20" t="e">
        <f>+DV447/DW447*100</f>
        <v>#REF!</v>
      </c>
      <c r="DY447" s="46"/>
      <c r="DZ447" s="46"/>
      <c r="EA447" s="46"/>
      <c r="EB447" s="46"/>
      <c r="EC447" s="39"/>
      <c r="ED447" s="39"/>
      <c r="EE447" s="39"/>
      <c r="EF447" s="39"/>
      <c r="EG447" s="39"/>
      <c r="EH447" s="39"/>
      <c r="EI447" s="39"/>
      <c r="EJ447" s="39"/>
      <c r="EK447" s="39"/>
      <c r="EL447" s="19" t="e">
        <f>+EL21+#REF!+#REF!+1000</f>
        <v>#REF!</v>
      </c>
      <c r="EM447" s="46"/>
      <c r="EN447" s="181"/>
      <c r="EO447" s="181"/>
      <c r="EP447" s="39"/>
      <c r="EQ447" s="39"/>
      <c r="ER447" s="39"/>
      <c r="ES447" s="39"/>
      <c r="ET447" s="39"/>
      <c r="EU447" s="39"/>
      <c r="EV447" s="39"/>
      <c r="EW447" s="39"/>
      <c r="EX447" s="39"/>
      <c r="EY447" s="39"/>
      <c r="EZ447" s="39"/>
      <c r="FA447" s="39"/>
      <c r="FB447" s="39"/>
      <c r="FC447" s="39"/>
      <c r="FD447" s="39"/>
      <c r="FE447" s="39"/>
      <c r="FF447" s="39"/>
      <c r="FG447" s="39"/>
      <c r="FH447" s="39"/>
      <c r="FI447" s="39"/>
      <c r="FJ447" s="46"/>
      <c r="FK447" s="46"/>
      <c r="FL447" s="46"/>
      <c r="FM447" s="19"/>
      <c r="FN447" s="46"/>
      <c r="FO447" s="39"/>
      <c r="FP447" s="46"/>
      <c r="FQ447" s="46"/>
      <c r="FR447" s="39"/>
      <c r="FS447" s="39"/>
      <c r="FT447" s="46"/>
      <c r="FU447" s="46"/>
      <c r="FV447" s="166"/>
      <c r="FW447" s="166"/>
      <c r="FX447" s="39"/>
      <c r="FY447" s="39"/>
      <c r="FZ447" s="39"/>
      <c r="GA447" s="39"/>
      <c r="GB447" s="39"/>
      <c r="GC447" s="46"/>
      <c r="GD447" s="46"/>
      <c r="GE447" s="39"/>
      <c r="GF447" s="39"/>
      <c r="GG447" s="39"/>
      <c r="GH447" s="39"/>
      <c r="GI447" s="39"/>
      <c r="GJ447" s="39"/>
      <c r="GK447" s="39"/>
      <c r="GL447" s="39" t="e">
        <f>+GL445/GL446</f>
        <v>#REF!</v>
      </c>
      <c r="GM447" s="95"/>
      <c r="GN447" s="46"/>
      <c r="GO447" s="39"/>
      <c r="GP447" s="46"/>
      <c r="GQ447" s="46"/>
      <c r="GR447" s="39"/>
      <c r="GS447" s="39"/>
      <c r="GT447" s="46"/>
      <c r="GU447" s="172"/>
      <c r="GV447" s="166"/>
      <c r="GW447" s="166"/>
      <c r="GX447" s="166"/>
      <c r="GY447" s="166"/>
      <c r="GZ447" s="166"/>
      <c r="HA447" s="39"/>
      <c r="HB447" s="46"/>
      <c r="HC447" s="46"/>
      <c r="HD447" s="39"/>
      <c r="HE447" s="39"/>
      <c r="HF447" s="209"/>
      <c r="HG447" s="172"/>
    </row>
    <row r="448" spans="2:215" ht="15.75" hidden="1">
      <c r="C448" s="199" t="s">
        <v>148</v>
      </c>
      <c r="D448" s="19"/>
      <c r="E448" s="19"/>
      <c r="F448" s="46"/>
      <c r="G448" s="46"/>
      <c r="H448" s="46"/>
      <c r="I448" s="19"/>
      <c r="J448" s="46"/>
      <c r="K448" s="46"/>
      <c r="L448" s="46"/>
      <c r="M448" s="19"/>
      <c r="N448" s="46"/>
      <c r="O448" s="46"/>
      <c r="P448" s="46"/>
      <c r="Q448" s="46"/>
      <c r="R448" s="46"/>
      <c r="S448" s="46"/>
      <c r="T448" s="46"/>
      <c r="U448" s="46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212"/>
      <c r="AT448" s="39"/>
      <c r="AU448" s="39"/>
      <c r="AV448" s="39"/>
      <c r="AW448" s="39"/>
      <c r="AX448" s="39"/>
      <c r="AY448" s="39"/>
      <c r="AZ448" s="95" t="e">
        <f>+AZ446/AZ418</f>
        <v>#REF!</v>
      </c>
      <c r="BA448" s="39"/>
      <c r="BB448" s="39"/>
      <c r="BC448" s="39"/>
      <c r="BD448" s="39"/>
      <c r="BE448" s="39"/>
      <c r="BF448" s="39"/>
      <c r="BG448" s="39"/>
      <c r="BH448" s="39"/>
      <c r="BI448" s="39"/>
      <c r="BJ448" s="39"/>
      <c r="BK448" s="19" t="e">
        <f>+BK436+BO436+BS436</f>
        <v>#REF!</v>
      </c>
      <c r="BL448" s="46"/>
      <c r="BM448" s="46"/>
      <c r="BN448" s="46"/>
      <c r="BO448" s="46"/>
      <c r="BP448" s="46"/>
      <c r="BQ448" s="46"/>
      <c r="BR448" s="46"/>
      <c r="BS448" s="46"/>
      <c r="BT448" s="46"/>
      <c r="BU448" s="46"/>
      <c r="BV448" s="46"/>
      <c r="BW448" s="19" t="e">
        <f>+BW436+CA436</f>
        <v>#REF!</v>
      </c>
      <c r="BX448" s="46"/>
      <c r="BY448" s="46"/>
      <c r="BZ448" s="46"/>
      <c r="CA448" s="46"/>
      <c r="CB448" s="46"/>
      <c r="CC448" s="46"/>
      <c r="CD448" s="46"/>
      <c r="CE448" s="46"/>
      <c r="CF448" s="46"/>
      <c r="CG448" s="46"/>
      <c r="CH448" s="46"/>
      <c r="CI448" s="46"/>
      <c r="CJ448" s="46"/>
      <c r="CK448" s="46"/>
      <c r="CL448" s="46"/>
      <c r="CM448" s="46"/>
      <c r="CN448" s="46"/>
      <c r="CO448" s="46"/>
      <c r="CP448" s="46"/>
      <c r="CQ448" s="46"/>
      <c r="CR448" s="46"/>
      <c r="CS448" s="46"/>
      <c r="CT448" s="46"/>
      <c r="CU448" s="46"/>
      <c r="CV448" s="46"/>
      <c r="CW448" s="46"/>
      <c r="CX448" s="46"/>
      <c r="CY448" s="39"/>
      <c r="CZ448" s="39"/>
      <c r="DA448" s="39"/>
      <c r="DB448" s="39"/>
      <c r="DC448" s="46"/>
      <c r="DD448" s="46"/>
      <c r="DE448" s="79" t="e">
        <f>+DE437+DG437</f>
        <v>#REF!</v>
      </c>
      <c r="DF448" s="79"/>
      <c r="DG448" s="46"/>
      <c r="DH448" s="46"/>
      <c r="DI448" s="39"/>
      <c r="DJ448" s="80"/>
      <c r="DK448" s="39"/>
      <c r="DL448" s="39"/>
      <c r="DM448" s="39"/>
      <c r="DN448" s="39"/>
      <c r="DO448" s="39"/>
      <c r="DP448" s="39"/>
      <c r="DQ448" s="39"/>
      <c r="DR448" s="39"/>
      <c r="DS448" s="39"/>
      <c r="DT448" s="39"/>
      <c r="DU448" s="39"/>
      <c r="DV448" s="39"/>
      <c r="DW448" s="39"/>
      <c r="DX448" s="46"/>
      <c r="DY448" s="46"/>
      <c r="DZ448" s="46"/>
      <c r="EA448" s="46"/>
      <c r="EB448" s="46"/>
      <c r="EC448" s="39"/>
      <c r="ED448" s="39"/>
      <c r="EE448" s="39"/>
      <c r="EF448" s="39"/>
      <c r="EG448" s="39"/>
      <c r="EH448" s="39"/>
      <c r="EI448" s="39"/>
      <c r="EJ448" s="39"/>
      <c r="EK448" s="39"/>
      <c r="EL448" s="46" t="e">
        <f>+EL447/EL446</f>
        <v>#REF!</v>
      </c>
      <c r="EM448" s="46"/>
      <c r="EN448" s="181"/>
      <c r="EO448" s="181"/>
      <c r="EP448" s="181"/>
      <c r="EQ448" s="39"/>
      <c r="ER448" s="39"/>
      <c r="ES448" s="39"/>
      <c r="ET448" s="39"/>
      <c r="EU448" s="39"/>
      <c r="EV448" s="39"/>
      <c r="EW448" s="39"/>
      <c r="EX448" s="39"/>
      <c r="EY448" s="39"/>
      <c r="EZ448" s="39"/>
      <c r="FA448" s="39"/>
      <c r="FB448" s="39"/>
      <c r="FC448" s="39"/>
      <c r="FD448" s="39"/>
      <c r="FE448" s="39"/>
      <c r="FF448" s="39"/>
      <c r="FG448" s="39"/>
      <c r="FH448" s="39"/>
      <c r="FI448" s="39"/>
      <c r="FJ448" s="46"/>
      <c r="FK448" s="46"/>
      <c r="FL448" s="46"/>
      <c r="FM448" s="19"/>
      <c r="FN448" s="19"/>
      <c r="FO448" s="39"/>
      <c r="FP448" s="46"/>
      <c r="FQ448" s="46"/>
      <c r="FR448" s="39"/>
      <c r="FS448" s="39"/>
      <c r="FT448" s="46"/>
      <c r="FU448" s="46"/>
      <c r="FV448" s="39"/>
      <c r="FW448" s="39"/>
      <c r="FX448" s="39"/>
      <c r="FY448" s="39"/>
      <c r="FZ448" s="166"/>
      <c r="GA448" s="39"/>
      <c r="GB448" s="39"/>
      <c r="GC448" s="46"/>
      <c r="GD448" s="46"/>
      <c r="GE448" s="39"/>
      <c r="GF448" s="39"/>
      <c r="GG448" s="39"/>
      <c r="GH448" s="39"/>
      <c r="GI448" s="39"/>
      <c r="GJ448" s="39"/>
      <c r="GK448" s="39"/>
      <c r="GL448" s="39"/>
      <c r="GM448" s="19"/>
      <c r="GN448" s="19"/>
      <c r="GO448" s="39"/>
      <c r="GP448" s="46"/>
      <c r="GQ448" s="46"/>
      <c r="GR448" s="39"/>
      <c r="GS448" s="39"/>
      <c r="GT448" s="46"/>
      <c r="GU448" s="172"/>
      <c r="GV448" s="39"/>
      <c r="GW448" s="39"/>
      <c r="GX448" s="39"/>
      <c r="GY448" s="39"/>
      <c r="GZ448" s="39"/>
      <c r="HA448" s="39"/>
      <c r="HB448" s="46"/>
      <c r="HC448" s="46"/>
      <c r="HD448" s="39"/>
      <c r="HE448" s="39"/>
      <c r="HF448" s="209"/>
      <c r="HG448" s="172"/>
    </row>
    <row r="449" spans="1:215" ht="15.75" hidden="1">
      <c r="C449" s="199" t="s">
        <v>148</v>
      </c>
      <c r="D449" s="19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212"/>
      <c r="AT449" s="39"/>
      <c r="AU449" s="39"/>
      <c r="AV449" s="39"/>
      <c r="AW449" s="39"/>
      <c r="AX449" s="39"/>
      <c r="AY449" s="39"/>
      <c r="AZ449" s="39"/>
      <c r="BA449" s="39"/>
      <c r="BB449" s="39"/>
      <c r="BC449" s="39"/>
      <c r="BD449" s="39"/>
      <c r="BE449" s="39"/>
      <c r="BF449" s="39"/>
      <c r="BG449" s="39"/>
      <c r="BH449" s="39"/>
      <c r="BI449" s="39"/>
      <c r="BJ449" s="39"/>
      <c r="BK449" s="19" t="e">
        <f>+BK437+BO437+BS437</f>
        <v>#REF!</v>
      </c>
      <c r="BL449" s="46"/>
      <c r="BM449" s="46"/>
      <c r="BN449" s="46"/>
      <c r="BO449" s="46"/>
      <c r="BP449" s="46"/>
      <c r="BQ449" s="46"/>
      <c r="BR449" s="46"/>
      <c r="BS449" s="46"/>
      <c r="BT449" s="46"/>
      <c r="BU449" s="46"/>
      <c r="BV449" s="46"/>
      <c r="BW449" s="19" t="e">
        <f>+BW437+CA437</f>
        <v>#REF!</v>
      </c>
      <c r="BX449" s="46"/>
      <c r="BY449" s="46"/>
      <c r="BZ449" s="46"/>
      <c r="CA449" s="46"/>
      <c r="CB449" s="46"/>
      <c r="CC449" s="46"/>
      <c r="CD449" s="46"/>
      <c r="CE449" s="46"/>
      <c r="CF449" s="46"/>
      <c r="CG449" s="46"/>
      <c r="CH449" s="46"/>
      <c r="CI449" s="46"/>
      <c r="CJ449" s="46"/>
      <c r="CK449" s="46"/>
      <c r="CL449" s="46"/>
      <c r="CM449" s="46"/>
      <c r="CN449" s="46"/>
      <c r="CO449" s="46"/>
      <c r="CP449" s="46"/>
      <c r="CQ449" s="46"/>
      <c r="CR449" s="46"/>
      <c r="CS449" s="46"/>
      <c r="CT449" s="46"/>
      <c r="CU449" s="46"/>
      <c r="CV449" s="46"/>
      <c r="CW449" s="46"/>
      <c r="CX449" s="46"/>
      <c r="CY449" s="39"/>
      <c r="CZ449" s="39"/>
      <c r="DA449" s="39"/>
      <c r="DB449" s="39"/>
      <c r="DC449" s="46"/>
      <c r="DD449" s="46"/>
      <c r="DE449" s="79" t="e">
        <f>+DE438+DG438</f>
        <v>#REF!</v>
      </c>
      <c r="DF449" s="79"/>
      <c r="DG449" s="46"/>
      <c r="DH449" s="46"/>
      <c r="DI449" s="39"/>
      <c r="DJ449" s="80"/>
      <c r="DK449" s="39"/>
      <c r="DL449" s="39"/>
      <c r="DM449" s="39"/>
      <c r="DN449" s="39"/>
      <c r="DO449" s="39"/>
      <c r="DP449" s="39"/>
      <c r="DQ449" s="39"/>
      <c r="DR449" s="39"/>
      <c r="DS449" s="39"/>
      <c r="DT449" s="39"/>
      <c r="DU449" s="39"/>
      <c r="DV449" s="39"/>
      <c r="DW449" s="39"/>
      <c r="DX449" s="46"/>
      <c r="DY449" s="46"/>
      <c r="DZ449" s="46"/>
      <c r="EA449" s="46"/>
      <c r="EB449" s="46"/>
      <c r="EC449" s="39"/>
      <c r="ED449" s="39"/>
      <c r="EE449" s="39"/>
      <c r="EF449" s="39"/>
      <c r="EG449" s="39"/>
      <c r="EH449" s="39"/>
      <c r="EI449" s="39"/>
      <c r="EJ449" s="39"/>
      <c r="EK449" s="39"/>
      <c r="EL449" s="46"/>
      <c r="EM449" s="46"/>
      <c r="EN449" s="39"/>
      <c r="EO449" s="39"/>
      <c r="EP449" s="39"/>
      <c r="EQ449" s="39"/>
      <c r="ER449" s="39"/>
      <c r="ES449" s="39"/>
      <c r="ET449" s="39"/>
      <c r="EU449" s="39"/>
      <c r="EV449" s="39"/>
      <c r="EW449" s="39"/>
      <c r="EX449" s="39"/>
      <c r="EY449" s="39"/>
      <c r="EZ449" s="39"/>
      <c r="FA449" s="39"/>
      <c r="FB449" s="39"/>
      <c r="FC449" s="39"/>
      <c r="FD449" s="39"/>
      <c r="FE449" s="39"/>
      <c r="FF449" s="39"/>
      <c r="FG449" s="39"/>
      <c r="FH449" s="39"/>
      <c r="FI449" s="39"/>
      <c r="FJ449" s="46"/>
      <c r="FK449" s="46"/>
      <c r="FL449" s="46"/>
      <c r="FM449" s="19"/>
      <c r="FN449" s="46"/>
      <c r="FO449" s="39"/>
      <c r="FP449" s="46"/>
      <c r="FQ449" s="46"/>
      <c r="FR449" s="39"/>
      <c r="FS449" s="39"/>
      <c r="FT449" s="46"/>
      <c r="FU449" s="46"/>
      <c r="FV449" s="166"/>
      <c r="FW449" s="166"/>
      <c r="FX449" s="39"/>
      <c r="FY449" s="39"/>
      <c r="FZ449" s="39"/>
      <c r="GA449" s="39"/>
      <c r="GB449" s="39"/>
      <c r="GC449" s="46"/>
      <c r="GD449" s="46"/>
      <c r="GE449" s="39"/>
      <c r="GF449" s="39"/>
      <c r="GG449" s="39"/>
      <c r="GH449" s="39"/>
      <c r="GI449" s="39"/>
      <c r="GJ449" s="39"/>
      <c r="GK449" s="39"/>
      <c r="GL449" s="39"/>
      <c r="GM449" s="19"/>
      <c r="GN449" s="46"/>
      <c r="GO449" s="39"/>
      <c r="GP449" s="46"/>
      <c r="GQ449" s="46"/>
      <c r="GR449" s="39"/>
      <c r="GS449" s="39"/>
      <c r="GT449" s="46"/>
      <c r="GU449" s="172"/>
      <c r="GV449" s="166"/>
      <c r="GW449" s="166"/>
      <c r="GX449" s="166"/>
      <c r="GY449" s="166"/>
      <c r="GZ449" s="166"/>
      <c r="HA449" s="39"/>
      <c r="HB449" s="46"/>
      <c r="HC449" s="46"/>
      <c r="HD449" s="39"/>
      <c r="HE449" s="39"/>
      <c r="HF449" s="209"/>
      <c r="HG449" s="172"/>
    </row>
    <row r="450" spans="1:215" ht="15.75" hidden="1">
      <c r="C450" s="199" t="s">
        <v>148</v>
      </c>
      <c r="D450" s="46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F450" s="39"/>
      <c r="AG450" s="39"/>
      <c r="AH450" s="39"/>
      <c r="AI450" s="39"/>
      <c r="AJ450" s="39"/>
      <c r="AK450" s="39"/>
      <c r="AL450" s="39"/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  <c r="AW450" s="39"/>
      <c r="AX450" s="39"/>
      <c r="AY450" s="39"/>
      <c r="AZ450" s="39"/>
      <c r="BA450" s="39"/>
      <c r="BB450" s="39"/>
      <c r="BC450" s="39"/>
      <c r="BD450" s="39"/>
      <c r="BE450" s="39"/>
      <c r="BF450" s="39"/>
      <c r="BG450" s="39"/>
      <c r="BH450" s="39"/>
      <c r="BI450" s="39"/>
      <c r="BJ450" s="39"/>
      <c r="BK450" s="19" t="e">
        <f>+BK438+BO438+BS438</f>
        <v>#REF!</v>
      </c>
      <c r="BL450" s="46"/>
      <c r="BM450" s="46"/>
      <c r="BN450" s="46"/>
      <c r="BO450" s="46"/>
      <c r="BP450" s="46"/>
      <c r="BQ450" s="46"/>
      <c r="BR450" s="46"/>
      <c r="BS450" s="46"/>
      <c r="BT450" s="46"/>
      <c r="BU450" s="46"/>
      <c r="BV450" s="46"/>
      <c r="BW450" s="19" t="e">
        <f>+BW438+CA438</f>
        <v>#REF!</v>
      </c>
      <c r="BX450" s="46"/>
      <c r="BY450" s="46"/>
      <c r="BZ450" s="46"/>
      <c r="CA450" s="46"/>
      <c r="CB450" s="46"/>
      <c r="CC450" s="46"/>
      <c r="CD450" s="46"/>
      <c r="CE450" s="46"/>
      <c r="CF450" s="46"/>
      <c r="CG450" s="46"/>
      <c r="CH450" s="46"/>
      <c r="CI450" s="46"/>
      <c r="CJ450" s="46"/>
      <c r="CK450" s="46"/>
      <c r="CL450" s="46"/>
      <c r="CM450" s="46"/>
      <c r="CN450" s="46"/>
      <c r="CO450" s="46"/>
      <c r="CP450" s="46"/>
      <c r="CQ450" s="46"/>
      <c r="CR450" s="46"/>
      <c r="CS450" s="46"/>
      <c r="CT450" s="46"/>
      <c r="CU450" s="46"/>
      <c r="CV450" s="46"/>
      <c r="CW450" s="46"/>
      <c r="CX450" s="46"/>
      <c r="CY450" s="39"/>
      <c r="CZ450" s="39"/>
      <c r="DA450" s="39"/>
      <c r="DB450" s="39"/>
      <c r="DC450" s="46"/>
      <c r="DD450" s="46" t="s">
        <v>531</v>
      </c>
      <c r="DE450" s="51" t="e">
        <f>+DE444+DE445+DE446+DE447+DE448</f>
        <v>#REF!</v>
      </c>
      <c r="DF450" s="51"/>
      <c r="DG450" s="46"/>
      <c r="DH450" s="46"/>
      <c r="DI450" s="39"/>
      <c r="DJ450" s="48" t="e">
        <f>+DJ444+DK444+DL444</f>
        <v>#REF!</v>
      </c>
      <c r="DK450" s="39"/>
      <c r="DL450" s="39"/>
      <c r="DM450" s="39"/>
      <c r="DN450" s="39"/>
      <c r="DO450" s="39"/>
      <c r="DP450" s="39"/>
      <c r="DQ450" s="39"/>
      <c r="DR450" s="39"/>
      <c r="DS450" s="39"/>
      <c r="DT450" s="39"/>
      <c r="DU450" s="39"/>
      <c r="DV450" s="39"/>
      <c r="DW450" s="39"/>
      <c r="DX450" s="46"/>
      <c r="DY450" s="46"/>
      <c r="DZ450" s="46"/>
      <c r="EA450" s="46"/>
      <c r="EB450" s="46"/>
      <c r="EC450" s="39"/>
      <c r="ED450" s="39"/>
      <c r="EE450" s="39"/>
      <c r="EF450" s="39"/>
      <c r="EG450" s="39"/>
      <c r="EH450" s="39"/>
      <c r="EI450" s="39"/>
      <c r="EJ450" s="39"/>
      <c r="EK450" s="39"/>
      <c r="EL450" s="46"/>
      <c r="EM450" s="46"/>
      <c r="EN450" s="39">
        <f>+EN412/EM412*1.18</f>
        <v>1701.4797440009884</v>
      </c>
      <c r="EO450" s="39"/>
      <c r="EP450" s="39"/>
      <c r="EQ450" s="39"/>
      <c r="ER450" s="39"/>
      <c r="ES450" s="39"/>
      <c r="ET450" s="39"/>
      <c r="EU450" s="39"/>
      <c r="EV450" s="39"/>
      <c r="EW450" s="39"/>
      <c r="EX450" s="39"/>
      <c r="EY450" s="39"/>
      <c r="EZ450" s="39"/>
      <c r="FA450" s="39"/>
      <c r="FB450" s="39"/>
      <c r="FC450" s="39"/>
      <c r="FD450" s="39"/>
      <c r="FE450" s="39"/>
      <c r="FF450" s="39"/>
      <c r="FG450" s="39"/>
      <c r="FH450" s="39"/>
      <c r="FI450" s="39"/>
      <c r="FJ450" s="46"/>
      <c r="FK450" s="46"/>
      <c r="FL450" s="46"/>
      <c r="FM450" s="46"/>
      <c r="FN450" s="46"/>
      <c r="FO450" s="39"/>
      <c r="FP450" s="46"/>
      <c r="FQ450" s="46"/>
      <c r="FR450" s="39"/>
      <c r="FS450" s="39"/>
      <c r="FT450" s="46"/>
      <c r="FU450" s="46"/>
      <c r="FV450" s="39"/>
      <c r="FW450" s="39"/>
      <c r="FX450" s="39"/>
      <c r="FY450" s="39"/>
      <c r="FZ450" s="39"/>
      <c r="GA450" s="39"/>
      <c r="GB450" s="39"/>
      <c r="GC450" s="46"/>
      <c r="GD450" s="46"/>
      <c r="GE450" s="39"/>
      <c r="GF450" s="39"/>
      <c r="GG450" s="39"/>
      <c r="GH450" s="39"/>
      <c r="GI450" s="39"/>
      <c r="GJ450" s="39"/>
      <c r="GK450" s="39"/>
      <c r="GL450" s="39"/>
      <c r="GM450" s="46"/>
      <c r="GN450" s="46"/>
      <c r="GO450" s="39"/>
      <c r="GP450" s="46"/>
      <c r="GQ450" s="46"/>
      <c r="GR450" s="39"/>
      <c r="GS450" s="39"/>
      <c r="GT450" s="46"/>
      <c r="GU450" s="172"/>
      <c r="GV450" s="39"/>
      <c r="GW450" s="39"/>
      <c r="GX450" s="39"/>
      <c r="GY450" s="39"/>
      <c r="GZ450" s="39"/>
      <c r="HA450" s="39"/>
      <c r="HB450" s="46"/>
      <c r="HC450" s="46"/>
      <c r="HD450" s="39"/>
      <c r="HE450" s="39"/>
      <c r="HF450" s="209"/>
      <c r="HG450" s="172"/>
    </row>
    <row r="451" spans="1:215" s="3" customFormat="1" ht="15.75" hidden="1">
      <c r="A451" s="1"/>
      <c r="B451" s="2"/>
      <c r="C451" s="199" t="s">
        <v>148</v>
      </c>
      <c r="D451" s="19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F451" s="39"/>
      <c r="AG451" s="39"/>
      <c r="AH451" s="39"/>
      <c r="AI451" s="39"/>
      <c r="AJ451" s="39"/>
      <c r="AK451" s="39"/>
      <c r="AL451" s="39"/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  <c r="AW451" s="39"/>
      <c r="AX451" s="39"/>
      <c r="AY451" s="39"/>
      <c r="AZ451" s="39"/>
      <c r="BA451" s="39"/>
      <c r="BB451" s="39"/>
      <c r="BC451" s="39"/>
      <c r="BD451" s="39"/>
      <c r="BE451" s="39"/>
      <c r="BF451" s="39"/>
      <c r="BG451" s="39"/>
      <c r="BH451" s="39"/>
      <c r="BI451" s="39"/>
      <c r="BJ451" s="39" t="s">
        <v>532</v>
      </c>
      <c r="BK451" s="46"/>
      <c r="BL451" s="46"/>
      <c r="BM451" s="46"/>
      <c r="BN451" s="46"/>
      <c r="BO451" s="46"/>
      <c r="BP451" s="46"/>
      <c r="BQ451" s="46"/>
      <c r="BR451" s="46"/>
      <c r="BS451" s="46"/>
      <c r="BT451" s="46"/>
      <c r="BU451" s="46"/>
      <c r="BV451" s="46"/>
      <c r="BW451" s="19">
        <f>+BW443+CA443</f>
        <v>0</v>
      </c>
      <c r="BX451" s="46"/>
      <c r="BY451" s="46"/>
      <c r="BZ451" s="46"/>
      <c r="CA451" s="46"/>
      <c r="CB451" s="46"/>
      <c r="CC451" s="46"/>
      <c r="CD451" s="46"/>
      <c r="CE451" s="46"/>
      <c r="CF451" s="46"/>
      <c r="CG451" s="46"/>
      <c r="CH451" s="46"/>
      <c r="CI451" s="46"/>
      <c r="CJ451" s="46"/>
      <c r="CK451" s="46"/>
      <c r="CL451" s="46"/>
      <c r="CM451" s="46"/>
      <c r="CN451" s="46"/>
      <c r="CO451" s="46"/>
      <c r="CP451" s="46"/>
      <c r="CQ451" s="46"/>
      <c r="CR451" s="46"/>
      <c r="CS451" s="46"/>
      <c r="CT451" s="46"/>
      <c r="CU451" s="46"/>
      <c r="CV451" s="46"/>
      <c r="CW451" s="46"/>
      <c r="CX451" s="46"/>
      <c r="CY451" s="39"/>
      <c r="CZ451" s="39"/>
      <c r="DA451" s="39"/>
      <c r="DB451" s="39"/>
      <c r="DC451" s="46"/>
      <c r="DD451" s="46" t="s">
        <v>533</v>
      </c>
      <c r="DE451" s="79" t="e">
        <f>+DE449+DE450</f>
        <v>#REF!</v>
      </c>
      <c r="DF451" s="79"/>
      <c r="DG451" s="46"/>
      <c r="DH451" s="46"/>
      <c r="DI451" s="39"/>
      <c r="DJ451" s="80"/>
      <c r="DK451" s="39"/>
      <c r="DL451" s="39"/>
      <c r="DM451" s="39"/>
      <c r="DN451" s="39"/>
      <c r="DO451" s="39"/>
      <c r="DP451" s="39"/>
      <c r="DQ451" s="39"/>
      <c r="DR451" s="39"/>
      <c r="DS451" s="46"/>
      <c r="DT451" s="46"/>
      <c r="DU451" s="46"/>
      <c r="DV451" s="19">
        <f>+((DV412/AZ412)+(DU412/AZ412))/2</f>
        <v>1313.4854844139595</v>
      </c>
      <c r="DW451" s="46" t="s">
        <v>534</v>
      </c>
      <c r="DX451" s="46"/>
      <c r="DY451" s="46"/>
      <c r="DZ451" s="46"/>
      <c r="EA451" s="46"/>
      <c r="EB451" s="46"/>
      <c r="EC451" s="46"/>
      <c r="ED451" s="46"/>
      <c r="EE451" s="46"/>
      <c r="EF451" s="46"/>
      <c r="EG451" s="46"/>
      <c r="EH451" s="46"/>
      <c r="EI451" s="46"/>
      <c r="EJ451" s="46"/>
      <c r="EK451" s="46"/>
      <c r="EL451" s="46"/>
      <c r="EM451" s="46"/>
      <c r="EN451" s="46"/>
      <c r="EO451" s="46"/>
      <c r="EP451" s="46"/>
      <c r="EQ451" s="46"/>
      <c r="ER451" s="46"/>
      <c r="ES451" s="46"/>
      <c r="ET451" s="46"/>
      <c r="EU451" s="46"/>
      <c r="EV451" s="46"/>
      <c r="EW451" s="46"/>
      <c r="EX451" s="46"/>
      <c r="EY451" s="46"/>
      <c r="EZ451" s="46"/>
      <c r="FA451" s="46"/>
      <c r="FB451" s="46"/>
      <c r="FC451" s="46"/>
      <c r="FD451" s="46"/>
      <c r="FE451" s="46"/>
      <c r="FF451" s="46"/>
      <c r="FG451" s="46"/>
      <c r="FH451" s="46"/>
      <c r="FI451" s="46"/>
      <c r="FJ451" s="46"/>
      <c r="FK451" s="46"/>
      <c r="FL451" s="46"/>
      <c r="FM451" s="46"/>
      <c r="FN451" s="46"/>
      <c r="FO451" s="46"/>
      <c r="FP451" s="46"/>
      <c r="FQ451" s="46"/>
      <c r="FR451" s="46"/>
      <c r="FS451" s="46"/>
      <c r="FT451" s="46"/>
      <c r="FU451" s="46"/>
      <c r="FV451" s="46"/>
      <c r="FW451" s="46"/>
      <c r="FX451" s="46"/>
      <c r="FY451" s="46"/>
      <c r="FZ451" s="46"/>
      <c r="GA451" s="46"/>
      <c r="GB451" s="46"/>
      <c r="GC451" s="46"/>
      <c r="GD451" s="46"/>
      <c r="GE451" s="46"/>
      <c r="GF451" s="46"/>
      <c r="GG451" s="46"/>
      <c r="GH451" s="46"/>
      <c r="GI451" s="46"/>
      <c r="GJ451" s="46"/>
      <c r="GK451" s="46"/>
      <c r="GL451" s="46"/>
      <c r="GM451" s="46"/>
      <c r="GN451" s="46"/>
      <c r="GO451" s="46"/>
      <c r="GP451" s="46"/>
      <c r="GQ451" s="46"/>
      <c r="GR451" s="46"/>
      <c r="GS451" s="46"/>
      <c r="GT451" s="46"/>
      <c r="GU451" s="172"/>
      <c r="GV451" s="46"/>
      <c r="GW451" s="46"/>
      <c r="GX451" s="46"/>
      <c r="GY451" s="46"/>
      <c r="GZ451" s="46"/>
      <c r="HA451" s="46"/>
      <c r="HB451" s="46"/>
      <c r="HC451" s="46"/>
      <c r="HD451" s="46"/>
      <c r="HE451" s="46"/>
      <c r="HF451" s="209"/>
      <c r="HG451" s="172"/>
    </row>
    <row r="452" spans="1:215" s="3" customFormat="1" ht="15.75" hidden="1">
      <c r="A452" s="1"/>
      <c r="B452" s="2"/>
      <c r="C452" s="199" t="s">
        <v>148</v>
      </c>
      <c r="D452" s="19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  <c r="AX452" s="39"/>
      <c r="AY452" s="39"/>
      <c r="AZ452" s="39"/>
      <c r="BA452" s="39"/>
      <c r="BB452" s="39"/>
      <c r="BC452" s="39"/>
      <c r="BD452" s="39"/>
      <c r="BE452" s="39"/>
      <c r="BF452" s="39"/>
      <c r="BG452" s="39"/>
      <c r="BH452" s="39"/>
      <c r="BI452" s="39"/>
      <c r="BJ452" s="39"/>
      <c r="BK452" s="46"/>
      <c r="BL452" s="46"/>
      <c r="BM452" s="46"/>
      <c r="BN452" s="46"/>
      <c r="BO452" s="46"/>
      <c r="BP452" s="46"/>
      <c r="BQ452" s="46"/>
      <c r="BR452" s="46"/>
      <c r="BS452" s="46"/>
      <c r="BT452" s="46"/>
      <c r="BU452" s="46"/>
      <c r="BV452" s="46"/>
      <c r="BW452" s="19">
        <f>+BW444+CA444</f>
        <v>0</v>
      </c>
      <c r="BX452" s="46"/>
      <c r="BY452" s="46"/>
      <c r="BZ452" s="46"/>
      <c r="CA452" s="46"/>
      <c r="CB452" s="46"/>
      <c r="CC452" s="46"/>
      <c r="CD452" s="46"/>
      <c r="CE452" s="46"/>
      <c r="CF452" s="46"/>
      <c r="CG452" s="46"/>
      <c r="CH452" s="46"/>
      <c r="CI452" s="46"/>
      <c r="CJ452" s="46"/>
      <c r="CK452" s="46"/>
      <c r="CL452" s="46"/>
      <c r="CM452" s="46"/>
      <c r="CN452" s="46"/>
      <c r="CO452" s="46"/>
      <c r="CP452" s="46"/>
      <c r="CQ452" s="46"/>
      <c r="CR452" s="46"/>
      <c r="CS452" s="46"/>
      <c r="CT452" s="46"/>
      <c r="CU452" s="46"/>
      <c r="CV452" s="46"/>
      <c r="CW452" s="46"/>
      <c r="CX452" s="46"/>
      <c r="CY452" s="39"/>
      <c r="CZ452" s="39"/>
      <c r="DA452" s="39"/>
      <c r="DB452" s="39"/>
      <c r="DC452" s="46"/>
      <c r="DD452" s="46"/>
      <c r="DE452" s="46"/>
      <c r="DF452" s="46"/>
      <c r="DG452" s="46"/>
      <c r="DH452" s="46"/>
      <c r="DI452" s="39"/>
      <c r="DJ452" s="80"/>
      <c r="DK452" s="39"/>
      <c r="DL452" s="39"/>
      <c r="DM452" s="39"/>
      <c r="DN452" s="39"/>
      <c r="DO452" s="39"/>
      <c r="DP452" s="39"/>
      <c r="DQ452" s="39"/>
      <c r="DR452" s="39"/>
      <c r="DS452" s="46"/>
      <c r="DT452" s="46"/>
      <c r="DU452" s="46"/>
      <c r="DV452" s="46"/>
      <c r="DW452" s="46"/>
      <c r="DX452" s="46"/>
      <c r="DY452" s="46"/>
      <c r="DZ452" s="46"/>
      <c r="EA452" s="46"/>
      <c r="EB452" s="46"/>
      <c r="EC452" s="46"/>
      <c r="ED452" s="46"/>
      <c r="EE452" s="46"/>
      <c r="EF452" s="46"/>
      <c r="EG452" s="46"/>
      <c r="EH452" s="46"/>
      <c r="EI452" s="46"/>
      <c r="EJ452" s="46"/>
      <c r="EK452" s="46"/>
      <c r="EL452" s="46"/>
      <c r="EM452" s="46"/>
      <c r="EN452" s="19"/>
      <c r="EO452" s="46"/>
      <c r="EP452" s="46"/>
      <c r="EQ452" s="46"/>
      <c r="ER452" s="46"/>
      <c r="ES452" s="46"/>
      <c r="ET452" s="46"/>
      <c r="EU452" s="46"/>
      <c r="EV452" s="46"/>
      <c r="EW452" s="46"/>
      <c r="EX452" s="46"/>
      <c r="EY452" s="46"/>
      <c r="EZ452" s="46"/>
      <c r="FA452" s="46"/>
      <c r="FB452" s="46"/>
      <c r="FC452" s="46"/>
      <c r="FD452" s="46"/>
      <c r="FE452" s="46"/>
      <c r="FF452" s="46"/>
      <c r="FG452" s="46"/>
      <c r="FH452" s="46"/>
      <c r="FI452" s="46"/>
      <c r="FJ452" s="46"/>
      <c r="FK452" s="46"/>
      <c r="FL452" s="46"/>
      <c r="FM452" s="46"/>
      <c r="FN452" s="46"/>
      <c r="FO452" s="46"/>
      <c r="FP452" s="46"/>
      <c r="FQ452" s="46"/>
      <c r="FR452" s="46"/>
      <c r="FS452" s="46"/>
      <c r="FT452" s="46"/>
      <c r="FU452" s="46"/>
      <c r="FV452" s="46"/>
      <c r="FW452" s="46"/>
      <c r="FX452" s="46"/>
      <c r="FY452" s="46"/>
      <c r="FZ452" s="46"/>
      <c r="GA452" s="46"/>
      <c r="GB452" s="46"/>
      <c r="GC452" s="46"/>
      <c r="GD452" s="46"/>
      <c r="GE452" s="46"/>
      <c r="GF452" s="46"/>
      <c r="GG452" s="46"/>
      <c r="GH452" s="46"/>
      <c r="GI452" s="46"/>
      <c r="GJ452" s="46"/>
      <c r="GK452" s="46"/>
      <c r="GL452" s="46"/>
      <c r="GM452" s="46"/>
      <c r="GN452" s="46"/>
      <c r="GO452" s="46"/>
      <c r="GP452" s="46"/>
      <c r="GQ452" s="46"/>
      <c r="GR452" s="46"/>
      <c r="GS452" s="46"/>
      <c r="GT452" s="46"/>
      <c r="GU452" s="172"/>
      <c r="GV452" s="46"/>
      <c r="GW452" s="46"/>
      <c r="GX452" s="46"/>
      <c r="GY452" s="46"/>
      <c r="GZ452" s="46"/>
      <c r="HA452" s="46"/>
      <c r="HB452" s="46"/>
      <c r="HC452" s="46"/>
      <c r="HD452" s="46"/>
      <c r="HE452" s="46"/>
      <c r="HF452" s="209"/>
      <c r="HG452" s="172"/>
    </row>
    <row r="453" spans="1:215" s="3" customFormat="1" ht="15.75" hidden="1">
      <c r="A453" s="1"/>
      <c r="B453" s="2"/>
      <c r="C453" s="199" t="s">
        <v>148</v>
      </c>
      <c r="D453" s="19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F453" s="39"/>
      <c r="AG453" s="39"/>
      <c r="AH453" s="39"/>
      <c r="AI453" s="39"/>
      <c r="AJ453" s="39"/>
      <c r="AK453" s="39"/>
      <c r="AL453" s="39"/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  <c r="AW453" s="39"/>
      <c r="AX453" s="39"/>
      <c r="AY453" s="39"/>
      <c r="AZ453" s="39"/>
      <c r="BA453" s="39"/>
      <c r="BB453" s="39"/>
      <c r="BC453" s="39"/>
      <c r="BD453" s="39"/>
      <c r="BE453" s="39"/>
      <c r="BF453" s="39"/>
      <c r="BG453" s="39"/>
      <c r="BH453" s="39"/>
      <c r="BI453" s="39"/>
      <c r="BJ453" s="39"/>
      <c r="BK453" s="46"/>
      <c r="BL453" s="46"/>
      <c r="BM453" s="46"/>
      <c r="BN453" s="46"/>
      <c r="BO453" s="46"/>
      <c r="BP453" s="46"/>
      <c r="BQ453" s="46"/>
      <c r="BR453" s="46"/>
      <c r="BS453" s="46"/>
      <c r="BT453" s="46"/>
      <c r="BU453" s="46"/>
      <c r="BV453" s="46"/>
      <c r="BW453" s="19"/>
      <c r="BX453" s="46"/>
      <c r="BY453" s="46"/>
      <c r="BZ453" s="46" t="e">
        <f>+BW450/2</f>
        <v>#REF!</v>
      </c>
      <c r="CA453" s="46"/>
      <c r="CB453" s="46"/>
      <c r="CC453" s="46"/>
      <c r="CD453" s="46"/>
      <c r="CE453" s="46"/>
      <c r="CF453" s="46"/>
      <c r="CG453" s="46"/>
      <c r="CH453" s="46"/>
      <c r="CI453" s="46"/>
      <c r="CJ453" s="46"/>
      <c r="CK453" s="46"/>
      <c r="CL453" s="46"/>
      <c r="CM453" s="46"/>
      <c r="CN453" s="46"/>
      <c r="CO453" s="46"/>
      <c r="CP453" s="46"/>
      <c r="CQ453" s="46"/>
      <c r="CR453" s="46"/>
      <c r="CS453" s="46"/>
      <c r="CT453" s="46"/>
      <c r="CU453" s="46"/>
      <c r="CV453" s="46"/>
      <c r="CW453" s="46"/>
      <c r="CX453" s="46"/>
      <c r="CY453" s="39"/>
      <c r="CZ453" s="39"/>
      <c r="DA453" s="39"/>
      <c r="DB453" s="39"/>
      <c r="DC453" s="46"/>
      <c r="DD453" s="46" t="s">
        <v>535</v>
      </c>
      <c r="DE453" s="19" t="e">
        <f>+(DE412+DG412+DE419+DG419)/1000000</f>
        <v>#REF!</v>
      </c>
      <c r="DF453" s="19"/>
      <c r="DG453" s="46"/>
      <c r="DH453" s="46"/>
      <c r="DI453" s="39"/>
      <c r="DJ453" s="80"/>
      <c r="DK453" s="39"/>
      <c r="DL453" s="39"/>
      <c r="DM453" s="39"/>
      <c r="DN453" s="39"/>
      <c r="DO453" s="39"/>
      <c r="DP453" s="39"/>
      <c r="DQ453" s="39"/>
      <c r="DR453" s="39"/>
      <c r="DS453" s="46"/>
      <c r="DT453" s="46"/>
      <c r="DU453" s="46"/>
      <c r="DV453" s="46" t="e">
        <f>+DV418/AZ418</f>
        <v>#REF!</v>
      </c>
      <c r="DW453" s="48" t="e">
        <f>+DW418/AZ418</f>
        <v>#REF!</v>
      </c>
      <c r="DX453" s="46"/>
      <c r="DY453" s="46"/>
      <c r="DZ453" s="46"/>
      <c r="EA453" s="46"/>
      <c r="EB453" s="46"/>
      <c r="EC453" s="46"/>
      <c r="ED453" s="46"/>
      <c r="EE453" s="46"/>
      <c r="EF453" s="46"/>
      <c r="EG453" s="46"/>
      <c r="EH453" s="46"/>
      <c r="EI453" s="46"/>
      <c r="EJ453" s="46"/>
      <c r="EK453" s="46"/>
      <c r="EL453" s="46"/>
      <c r="EM453" s="46"/>
      <c r="EN453" s="46"/>
      <c r="EO453" s="46"/>
      <c r="EP453" s="46"/>
      <c r="EQ453" s="46"/>
      <c r="ER453" s="46"/>
      <c r="ES453" s="46"/>
      <c r="ET453" s="46"/>
      <c r="EU453" s="46"/>
      <c r="EV453" s="46"/>
      <c r="EW453" s="46"/>
      <c r="EX453" s="46"/>
      <c r="EY453" s="46"/>
      <c r="EZ453" s="46"/>
      <c r="FA453" s="46"/>
      <c r="FB453" s="46"/>
      <c r="FC453" s="46"/>
      <c r="FD453" s="46"/>
      <c r="FE453" s="46"/>
      <c r="FF453" s="46"/>
      <c r="FG453" s="46"/>
      <c r="FH453" s="46"/>
      <c r="FI453" s="46"/>
      <c r="FJ453" s="46"/>
      <c r="FK453" s="46"/>
      <c r="FL453" s="46"/>
      <c r="FM453" s="46"/>
      <c r="FN453" s="46"/>
      <c r="FO453" s="46"/>
      <c r="FP453" s="46"/>
      <c r="FQ453" s="46"/>
      <c r="FR453" s="46"/>
      <c r="FS453" s="46"/>
      <c r="FT453" s="46"/>
      <c r="FU453" s="46"/>
      <c r="FV453" s="46"/>
      <c r="FW453" s="46"/>
      <c r="FX453" s="46"/>
      <c r="FY453" s="46"/>
      <c r="FZ453" s="46"/>
      <c r="GA453" s="46"/>
      <c r="GB453" s="46"/>
      <c r="GC453" s="46"/>
      <c r="GD453" s="46"/>
      <c r="GE453" s="46"/>
      <c r="GF453" s="46"/>
      <c r="GG453" s="46"/>
      <c r="GH453" s="46"/>
      <c r="GI453" s="46"/>
      <c r="GJ453" s="46"/>
      <c r="GK453" s="46"/>
      <c r="GL453" s="46"/>
      <c r="GM453" s="46"/>
      <c r="GN453" s="46"/>
      <c r="GO453" s="46"/>
      <c r="GP453" s="46"/>
      <c r="GQ453" s="46"/>
      <c r="GR453" s="46"/>
      <c r="GS453" s="46"/>
      <c r="GT453" s="46"/>
      <c r="GU453" s="172"/>
      <c r="GV453" s="46"/>
      <c r="GW453" s="46"/>
      <c r="GX453" s="46"/>
      <c r="GY453" s="46"/>
      <c r="GZ453" s="46"/>
      <c r="HA453" s="46"/>
      <c r="HB453" s="46"/>
      <c r="HC453" s="46"/>
      <c r="HD453" s="46"/>
      <c r="HE453" s="46"/>
      <c r="HF453" s="209"/>
      <c r="HG453" s="172"/>
    </row>
    <row r="454" spans="1:215" s="3" customFormat="1" ht="15.75" hidden="1">
      <c r="A454" s="1"/>
      <c r="B454" s="2"/>
      <c r="C454" s="199" t="s">
        <v>148</v>
      </c>
      <c r="D454" s="46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F454" s="39"/>
      <c r="AG454" s="39"/>
      <c r="AH454" s="39"/>
      <c r="AI454" s="39"/>
      <c r="AJ454" s="39"/>
      <c r="AK454" s="39"/>
      <c r="AL454" s="39"/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  <c r="AW454" s="39"/>
      <c r="AX454" s="39"/>
      <c r="AY454" s="39"/>
      <c r="AZ454" s="39"/>
      <c r="BA454" s="39"/>
      <c r="BB454" s="39"/>
      <c r="BC454" s="39"/>
      <c r="BD454" s="39"/>
      <c r="BE454" s="39"/>
      <c r="BF454" s="39"/>
      <c r="BG454" s="39"/>
      <c r="BH454" s="39"/>
      <c r="BI454" s="39"/>
      <c r="BJ454" s="39"/>
      <c r="BK454" s="46"/>
      <c r="BL454" s="46"/>
      <c r="BM454" s="46"/>
      <c r="BN454" s="46"/>
      <c r="BO454" s="46"/>
      <c r="BP454" s="46"/>
      <c r="BQ454" s="46"/>
      <c r="BR454" s="46"/>
      <c r="BS454" s="46"/>
      <c r="BT454" s="46"/>
      <c r="BU454" s="46"/>
      <c r="BV454" s="46"/>
      <c r="BW454" s="46"/>
      <c r="BX454" s="46"/>
      <c r="BY454" s="46"/>
      <c r="BZ454" s="46">
        <f>+BW451/2</f>
        <v>0</v>
      </c>
      <c r="CA454" s="46"/>
      <c r="CB454" s="46"/>
      <c r="CC454" s="46"/>
      <c r="CD454" s="46"/>
      <c r="CE454" s="46"/>
      <c r="CF454" s="46"/>
      <c r="CG454" s="46"/>
      <c r="CH454" s="46"/>
      <c r="CI454" s="46"/>
      <c r="CJ454" s="46"/>
      <c r="CK454" s="46"/>
      <c r="CL454" s="46"/>
      <c r="CM454" s="46"/>
      <c r="CN454" s="46"/>
      <c r="CO454" s="46"/>
      <c r="CP454" s="46"/>
      <c r="CQ454" s="46"/>
      <c r="CR454" s="46"/>
      <c r="CS454" s="46"/>
      <c r="CT454" s="46"/>
      <c r="CU454" s="46"/>
      <c r="CV454" s="46"/>
      <c r="CW454" s="46"/>
      <c r="CX454" s="46"/>
      <c r="CY454" s="39"/>
      <c r="CZ454" s="39"/>
      <c r="DA454" s="39"/>
      <c r="DB454" s="39"/>
      <c r="DC454" s="46"/>
      <c r="DD454" s="46" t="s">
        <v>536</v>
      </c>
      <c r="DE454" s="19" t="e">
        <f>+(DE420+DG420+DE424+DG424+DE425+DG425)/1000000</f>
        <v>#REF!</v>
      </c>
      <c r="DF454" s="19"/>
      <c r="DG454" s="46"/>
      <c r="DH454" s="46"/>
      <c r="DI454" s="39"/>
      <c r="DJ454" s="80"/>
      <c r="DK454" s="39"/>
      <c r="DL454" s="39"/>
      <c r="DM454" s="39"/>
      <c r="DN454" s="39"/>
      <c r="DO454" s="39"/>
      <c r="DP454" s="39"/>
      <c r="DQ454" s="39"/>
      <c r="DR454" s="39"/>
      <c r="DS454" s="46"/>
      <c r="DT454" s="46"/>
      <c r="DU454" s="46"/>
      <c r="DV454" s="46"/>
      <c r="DW454" s="46"/>
      <c r="DX454" s="46"/>
      <c r="DY454" s="46"/>
      <c r="DZ454" s="46"/>
      <c r="EA454" s="46"/>
      <c r="EB454" s="46"/>
      <c r="EC454" s="46"/>
      <c r="ED454" s="46"/>
      <c r="EE454" s="46"/>
      <c r="EF454" s="46"/>
      <c r="EG454" s="46"/>
      <c r="EH454" s="46"/>
      <c r="EI454" s="46"/>
      <c r="EJ454" s="46"/>
      <c r="EK454" s="46"/>
      <c r="EL454" s="46"/>
      <c r="EM454" s="46"/>
      <c r="EN454" s="46"/>
      <c r="EO454" s="46"/>
      <c r="EP454" s="46"/>
      <c r="EQ454" s="46"/>
      <c r="ER454" s="46"/>
      <c r="ES454" s="46"/>
      <c r="ET454" s="46"/>
      <c r="EU454" s="46"/>
      <c r="EV454" s="46"/>
      <c r="EW454" s="46"/>
      <c r="EX454" s="46"/>
      <c r="EY454" s="46"/>
      <c r="EZ454" s="46"/>
      <c r="FA454" s="46"/>
      <c r="FB454" s="46"/>
      <c r="FC454" s="46"/>
      <c r="FD454" s="46"/>
      <c r="FE454" s="46"/>
      <c r="FF454" s="46"/>
      <c r="FG454" s="46"/>
      <c r="FH454" s="46"/>
      <c r="FI454" s="46"/>
      <c r="FJ454" s="46"/>
      <c r="FK454" s="46"/>
      <c r="FL454" s="46"/>
      <c r="FM454" s="46"/>
      <c r="FN454" s="46"/>
      <c r="FO454" s="46"/>
      <c r="FP454" s="46"/>
      <c r="FQ454" s="46"/>
      <c r="FR454" s="46"/>
      <c r="FS454" s="46"/>
      <c r="FT454" s="46"/>
      <c r="FU454" s="46"/>
      <c r="FV454" s="46"/>
      <c r="FW454" s="46"/>
      <c r="FX454" s="46"/>
      <c r="FY454" s="46"/>
      <c r="FZ454" s="46"/>
      <c r="GA454" s="46"/>
      <c r="GB454" s="46"/>
      <c r="GC454" s="46"/>
      <c r="GD454" s="46"/>
      <c r="GE454" s="46"/>
      <c r="GF454" s="46"/>
      <c r="GG454" s="46"/>
      <c r="GH454" s="46"/>
      <c r="GI454" s="46"/>
      <c r="GJ454" s="46"/>
      <c r="GK454" s="46"/>
      <c r="GL454" s="46"/>
      <c r="GM454" s="46"/>
      <c r="GN454" s="46"/>
      <c r="GO454" s="46"/>
      <c r="GP454" s="46"/>
      <c r="GQ454" s="46"/>
      <c r="GR454" s="46"/>
      <c r="GS454" s="46"/>
      <c r="GT454" s="46"/>
      <c r="GU454" s="172"/>
      <c r="GV454" s="46"/>
      <c r="GW454" s="46"/>
      <c r="GX454" s="46"/>
      <c r="GY454" s="46"/>
      <c r="GZ454" s="46"/>
      <c r="HA454" s="46"/>
      <c r="HB454" s="46"/>
      <c r="HC454" s="46"/>
      <c r="HD454" s="46"/>
      <c r="HE454" s="46"/>
      <c r="HF454" s="209"/>
      <c r="HG454" s="172"/>
    </row>
    <row r="455" spans="1:215" s="3" customFormat="1" ht="15.75" hidden="1">
      <c r="A455" s="1"/>
      <c r="B455" s="2"/>
      <c r="C455" s="199" t="s">
        <v>148</v>
      </c>
      <c r="D455" s="46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F455" s="39"/>
      <c r="AG455" s="39"/>
      <c r="AH455" s="39"/>
      <c r="AI455" s="39"/>
      <c r="AJ455" s="39"/>
      <c r="AK455" s="39"/>
      <c r="AL455" s="39"/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  <c r="AW455" s="39"/>
      <c r="AX455" s="39"/>
      <c r="AY455" s="39"/>
      <c r="AZ455" s="39"/>
      <c r="BA455" s="39"/>
      <c r="BB455" s="39"/>
      <c r="BC455" s="39"/>
      <c r="BD455" s="39"/>
      <c r="BE455" s="39"/>
      <c r="BF455" s="39"/>
      <c r="BG455" s="39"/>
      <c r="BH455" s="39"/>
      <c r="BI455" s="39"/>
      <c r="BJ455" s="39"/>
      <c r="BK455" s="46"/>
      <c r="BL455" s="46"/>
      <c r="BM455" s="46"/>
      <c r="BN455" s="46"/>
      <c r="BO455" s="46"/>
      <c r="BP455" s="46"/>
      <c r="BQ455" s="46"/>
      <c r="BR455" s="46"/>
      <c r="BS455" s="46"/>
      <c r="BT455" s="46"/>
      <c r="BU455" s="46"/>
      <c r="BV455" s="46"/>
      <c r="BW455" s="46"/>
      <c r="BX455" s="46"/>
      <c r="BY455" s="46"/>
      <c r="BZ455" s="46">
        <f>+BW452/2</f>
        <v>0</v>
      </c>
      <c r="CA455" s="46"/>
      <c r="CB455" s="46"/>
      <c r="CC455" s="46"/>
      <c r="CD455" s="46"/>
      <c r="CE455" s="46"/>
      <c r="CF455" s="46"/>
      <c r="CG455" s="46"/>
      <c r="CH455" s="46"/>
      <c r="CI455" s="46"/>
      <c r="CJ455" s="46"/>
      <c r="CK455" s="46"/>
      <c r="CL455" s="46"/>
      <c r="CM455" s="46"/>
      <c r="CN455" s="46"/>
      <c r="CO455" s="46"/>
      <c r="CP455" s="46"/>
      <c r="CQ455" s="46"/>
      <c r="CR455" s="46"/>
      <c r="CS455" s="46"/>
      <c r="CT455" s="46"/>
      <c r="CU455" s="46"/>
      <c r="CV455" s="46"/>
      <c r="CW455" s="46"/>
      <c r="CX455" s="46"/>
      <c r="CY455" s="39"/>
      <c r="CZ455" s="39"/>
      <c r="DA455" s="39"/>
      <c r="DB455" s="39"/>
      <c r="DC455" s="46"/>
      <c r="DD455" s="46" t="s">
        <v>537</v>
      </c>
      <c r="DE455" s="95">
        <f>+(DE254+DG254)/1000000</f>
        <v>2.7990753071999996E-3</v>
      </c>
      <c r="DF455" s="95"/>
      <c r="DG455" s="46"/>
      <c r="DH455" s="46"/>
      <c r="DI455" s="39"/>
      <c r="DJ455" s="80"/>
      <c r="DK455" s="39"/>
      <c r="DL455" s="39"/>
      <c r="DM455" s="39"/>
      <c r="DN455" s="39"/>
      <c r="DO455" s="39"/>
      <c r="DP455" s="39"/>
      <c r="DQ455" s="39"/>
      <c r="DR455" s="39"/>
      <c r="DS455" s="46"/>
      <c r="DT455" s="46"/>
      <c r="DU455" s="46"/>
      <c r="DV455" s="46"/>
      <c r="DW455" s="46"/>
      <c r="DX455" s="46"/>
      <c r="DY455" s="46"/>
      <c r="DZ455" s="46"/>
      <c r="EA455" s="46"/>
      <c r="EB455" s="46"/>
      <c r="EC455" s="46"/>
      <c r="ED455" s="46"/>
      <c r="EE455" s="46"/>
      <c r="EF455" s="46"/>
      <c r="EG455" s="46"/>
      <c r="EH455" s="46"/>
      <c r="EI455" s="46"/>
      <c r="EJ455" s="46"/>
      <c r="EK455" s="46"/>
      <c r="EL455" s="46"/>
      <c r="EM455" s="46"/>
      <c r="EN455" s="46"/>
      <c r="EO455" s="46"/>
      <c r="EP455" s="46"/>
      <c r="EQ455" s="46"/>
      <c r="ER455" s="46"/>
      <c r="ES455" s="46"/>
      <c r="ET455" s="46"/>
      <c r="EU455" s="46"/>
      <c r="EV455" s="46"/>
      <c r="EW455" s="46"/>
      <c r="EX455" s="46"/>
      <c r="EY455" s="46"/>
      <c r="EZ455" s="46"/>
      <c r="FA455" s="46"/>
      <c r="FB455" s="46"/>
      <c r="FC455" s="46"/>
      <c r="FD455" s="46"/>
      <c r="FE455" s="46"/>
      <c r="FF455" s="46"/>
      <c r="FG455" s="46"/>
      <c r="FH455" s="46"/>
      <c r="FI455" s="46"/>
      <c r="FJ455" s="46"/>
      <c r="FK455" s="46"/>
      <c r="FL455" s="46"/>
      <c r="FM455" s="46"/>
      <c r="FN455" s="46"/>
      <c r="FO455" s="46"/>
      <c r="FP455" s="46"/>
      <c r="FQ455" s="46"/>
      <c r="FR455" s="46"/>
      <c r="FS455" s="46"/>
      <c r="FT455" s="46"/>
      <c r="FU455" s="46"/>
      <c r="FV455" s="46"/>
      <c r="FW455" s="46"/>
      <c r="FX455" s="46"/>
      <c r="FY455" s="46"/>
      <c r="FZ455" s="46"/>
      <c r="GA455" s="46"/>
      <c r="GB455" s="46"/>
      <c r="GC455" s="46"/>
      <c r="GD455" s="46"/>
      <c r="GE455" s="46"/>
      <c r="GF455" s="46"/>
      <c r="GG455" s="46"/>
      <c r="GH455" s="46"/>
      <c r="GI455" s="46"/>
      <c r="GJ455" s="46"/>
      <c r="GK455" s="46"/>
      <c r="GL455" s="46"/>
      <c r="GM455" s="46"/>
      <c r="GN455" s="46"/>
      <c r="GO455" s="46"/>
      <c r="GP455" s="46"/>
      <c r="GQ455" s="46"/>
      <c r="GR455" s="46"/>
      <c r="GS455" s="46"/>
      <c r="GT455" s="46"/>
      <c r="GU455" s="172"/>
      <c r="GV455" s="46"/>
      <c r="GW455" s="46"/>
      <c r="GX455" s="46"/>
      <c r="GY455" s="46"/>
      <c r="GZ455" s="46"/>
      <c r="HA455" s="46"/>
      <c r="HB455" s="46"/>
      <c r="HC455" s="46"/>
      <c r="HD455" s="46"/>
      <c r="HE455" s="46"/>
      <c r="HF455" s="209"/>
      <c r="HG455" s="172"/>
    </row>
    <row r="456" spans="1:215" s="3" customFormat="1" ht="15.75" hidden="1">
      <c r="A456" s="1"/>
      <c r="B456" s="2"/>
      <c r="C456" s="199" t="s">
        <v>148</v>
      </c>
      <c r="D456" s="208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  <c r="AX456" s="39"/>
      <c r="AY456" s="39"/>
      <c r="AZ456" s="39"/>
      <c r="BA456" s="39"/>
      <c r="BB456" s="39"/>
      <c r="BC456" s="39"/>
      <c r="BD456" s="39"/>
      <c r="BE456" s="39"/>
      <c r="BF456" s="39"/>
      <c r="BG456" s="39"/>
      <c r="BH456" s="39"/>
      <c r="BI456" s="39"/>
      <c r="BJ456" s="39"/>
      <c r="BK456" s="46"/>
      <c r="BL456" s="46"/>
      <c r="BM456" s="46"/>
      <c r="BN456" s="46"/>
      <c r="BO456" s="46"/>
      <c r="BP456" s="46"/>
      <c r="BQ456" s="46"/>
      <c r="BR456" s="46"/>
      <c r="BS456" s="46"/>
      <c r="BT456" s="46"/>
      <c r="BU456" s="46"/>
      <c r="BV456" s="46"/>
      <c r="BW456" s="46"/>
      <c r="BX456" s="46"/>
      <c r="BY456" s="46"/>
      <c r="BZ456" s="46"/>
      <c r="CA456" s="46"/>
      <c r="CB456" s="46"/>
      <c r="CC456" s="46"/>
      <c r="CD456" s="46"/>
      <c r="CE456" s="46"/>
      <c r="CF456" s="46"/>
      <c r="CG456" s="46"/>
      <c r="CH456" s="46"/>
      <c r="CI456" s="46"/>
      <c r="CJ456" s="46"/>
      <c r="CK456" s="46"/>
      <c r="CL456" s="46"/>
      <c r="CM456" s="46"/>
      <c r="CN456" s="46"/>
      <c r="CO456" s="46"/>
      <c r="CP456" s="46"/>
      <c r="CQ456" s="46"/>
      <c r="CR456" s="46"/>
      <c r="CS456" s="46"/>
      <c r="CT456" s="46"/>
      <c r="CU456" s="46"/>
      <c r="CV456" s="46"/>
      <c r="CW456" s="46"/>
      <c r="CX456" s="46"/>
      <c r="CY456" s="39"/>
      <c r="CZ456" s="39"/>
      <c r="DA456" s="39"/>
      <c r="DB456" s="39"/>
      <c r="DC456" s="46"/>
      <c r="DD456" s="46"/>
      <c r="DE456" s="46"/>
      <c r="DF456" s="46"/>
      <c r="DG456" s="46"/>
      <c r="DH456" s="46"/>
      <c r="DI456" s="39"/>
      <c r="DJ456" s="80"/>
      <c r="DK456" s="39"/>
      <c r="DL456" s="39"/>
      <c r="DM456" s="39"/>
      <c r="DN456" s="39"/>
      <c r="DO456" s="39"/>
      <c r="DP456" s="39"/>
      <c r="DQ456" s="39"/>
      <c r="DR456" s="39"/>
      <c r="DS456" s="46"/>
      <c r="DT456" s="46"/>
      <c r="DU456" s="46"/>
      <c r="DV456" s="46"/>
      <c r="DW456" s="46"/>
      <c r="DX456" s="46"/>
      <c r="DY456" s="46"/>
      <c r="DZ456" s="46"/>
      <c r="EA456" s="46"/>
      <c r="EB456" s="46"/>
      <c r="EC456" s="46"/>
      <c r="ED456" s="46"/>
      <c r="EE456" s="46"/>
      <c r="EF456" s="46"/>
      <c r="EG456" s="46"/>
      <c r="EH456" s="46"/>
      <c r="EI456" s="46"/>
      <c r="EJ456" s="46"/>
      <c r="EK456" s="46"/>
      <c r="EL456" s="46"/>
      <c r="EM456" s="46"/>
      <c r="EN456" s="46"/>
      <c r="EO456" s="46"/>
      <c r="EP456" s="46"/>
      <c r="EQ456" s="46"/>
      <c r="ER456" s="46"/>
      <c r="ES456" s="46"/>
      <c r="ET456" s="46"/>
      <c r="EU456" s="46"/>
      <c r="EV456" s="46"/>
      <c r="EW456" s="46"/>
      <c r="EX456" s="46"/>
      <c r="EY456" s="46"/>
      <c r="EZ456" s="46"/>
      <c r="FA456" s="46"/>
      <c r="FB456" s="46"/>
      <c r="FC456" s="46"/>
      <c r="FD456" s="46"/>
      <c r="FE456" s="46"/>
      <c r="FF456" s="46"/>
      <c r="FG456" s="46"/>
      <c r="FH456" s="46"/>
      <c r="FI456" s="46"/>
      <c r="FJ456" s="46"/>
      <c r="FK456" s="46"/>
      <c r="FL456" s="46"/>
      <c r="FM456" s="46"/>
      <c r="FN456" s="46"/>
      <c r="FO456" s="46"/>
      <c r="FP456" s="46"/>
      <c r="FQ456" s="46"/>
      <c r="FR456" s="46"/>
      <c r="FS456" s="46"/>
      <c r="FT456" s="46"/>
      <c r="FU456" s="46"/>
      <c r="FV456" s="46"/>
      <c r="FW456" s="46"/>
      <c r="FX456" s="46"/>
      <c r="FY456" s="46"/>
      <c r="FZ456" s="46"/>
      <c r="GA456" s="46"/>
      <c r="GB456" s="46"/>
      <c r="GC456" s="46"/>
      <c r="GD456" s="46"/>
      <c r="GE456" s="46"/>
      <c r="GF456" s="46"/>
      <c r="GG456" s="46"/>
      <c r="GH456" s="46"/>
      <c r="GI456" s="46"/>
      <c r="GJ456" s="46"/>
      <c r="GK456" s="46"/>
      <c r="GL456" s="46"/>
      <c r="GM456" s="46"/>
      <c r="GN456" s="46"/>
      <c r="GO456" s="46"/>
      <c r="GP456" s="46"/>
      <c r="GQ456" s="46"/>
      <c r="GR456" s="46"/>
      <c r="GS456" s="46"/>
      <c r="GT456" s="46"/>
      <c r="GU456" s="172"/>
      <c r="GV456" s="46"/>
      <c r="GW456" s="46"/>
      <c r="GX456" s="46"/>
      <c r="GY456" s="46"/>
      <c r="GZ456" s="46"/>
      <c r="HA456" s="46"/>
      <c r="HB456" s="46"/>
      <c r="HC456" s="46"/>
      <c r="HD456" s="46"/>
      <c r="HE456" s="46"/>
      <c r="HF456" s="209"/>
      <c r="HG456" s="172"/>
    </row>
    <row r="457" spans="1:215" s="3" customFormat="1" ht="15.75" hidden="1">
      <c r="A457" s="1"/>
      <c r="B457" s="2"/>
      <c r="C457" s="199" t="s">
        <v>148</v>
      </c>
      <c r="D457" s="19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F457" s="39"/>
      <c r="AG457" s="39"/>
      <c r="AH457" s="39"/>
      <c r="AI457" s="39"/>
      <c r="AJ457" s="39"/>
      <c r="AK457" s="39"/>
      <c r="AL457" s="39"/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  <c r="AW457" s="39"/>
      <c r="AX457" s="39"/>
      <c r="AY457" s="212"/>
      <c r="AZ457" s="39"/>
      <c r="BA457" s="39"/>
      <c r="BB457" s="39"/>
      <c r="BC457" s="39"/>
      <c r="BD457" s="39"/>
      <c r="BE457" s="39"/>
      <c r="BF457" s="39"/>
      <c r="BG457" s="39"/>
      <c r="BH457" s="39"/>
      <c r="BI457" s="39"/>
      <c r="BJ457" s="39"/>
      <c r="BK457" s="46"/>
      <c r="BL457" s="46"/>
      <c r="BM457" s="46"/>
      <c r="BN457" s="46"/>
      <c r="BO457" s="46"/>
      <c r="BP457" s="46"/>
      <c r="BQ457" s="46"/>
      <c r="BR457" s="46"/>
      <c r="BS457" s="46"/>
      <c r="BT457" s="46"/>
      <c r="BU457" s="46"/>
      <c r="BV457" s="46"/>
      <c r="BW457" s="46"/>
      <c r="BX457" s="46"/>
      <c r="BY457" s="46"/>
      <c r="BZ457" s="46"/>
      <c r="CA457" s="46"/>
      <c r="CB457" s="46"/>
      <c r="CC457" s="46"/>
      <c r="CD457" s="46"/>
      <c r="CE457" s="46"/>
      <c r="CF457" s="46"/>
      <c r="CG457" s="46"/>
      <c r="CH457" s="46"/>
      <c r="CI457" s="46"/>
      <c r="CJ457" s="46"/>
      <c r="CK457" s="46"/>
      <c r="CL457" s="46"/>
      <c r="CM457" s="46"/>
      <c r="CN457" s="46"/>
      <c r="CO457" s="46"/>
      <c r="CP457" s="46"/>
      <c r="CQ457" s="46"/>
      <c r="CR457" s="46"/>
      <c r="CS457" s="46"/>
      <c r="CT457" s="46"/>
      <c r="CU457" s="46"/>
      <c r="CV457" s="46"/>
      <c r="CW457" s="46"/>
      <c r="CX457" s="46"/>
      <c r="CY457" s="39"/>
      <c r="CZ457" s="39"/>
      <c r="DA457" s="39"/>
      <c r="DB457" s="39"/>
      <c r="DC457" s="46"/>
      <c r="DD457" s="46" t="s">
        <v>538</v>
      </c>
      <c r="DE457" s="79" t="e">
        <f>+(#REF!+#REF!+#REF!+#REF!)/1000000</f>
        <v>#REF!</v>
      </c>
      <c r="DF457" s="79"/>
      <c r="DG457" s="46"/>
      <c r="DH457" s="46"/>
      <c r="DI457" s="39"/>
      <c r="DJ457" s="80"/>
      <c r="DK457" s="39"/>
      <c r="DL457" s="39"/>
      <c r="DM457" s="39"/>
      <c r="DN457" s="39"/>
      <c r="DO457" s="39"/>
      <c r="DP457" s="39"/>
      <c r="DQ457" s="39"/>
      <c r="DR457" s="39"/>
      <c r="DS457" s="46"/>
      <c r="DT457" s="46"/>
      <c r="DU457" s="46"/>
      <c r="DV457" s="46"/>
      <c r="DW457" s="46"/>
      <c r="DX457" s="46"/>
      <c r="DY457" s="46"/>
      <c r="DZ457" s="46"/>
      <c r="EA457" s="46"/>
      <c r="EB457" s="46"/>
      <c r="EC457" s="46"/>
      <c r="ED457" s="46"/>
      <c r="EE457" s="46"/>
      <c r="EF457" s="46"/>
      <c r="EG457" s="46"/>
      <c r="EH457" s="46"/>
      <c r="EI457" s="46"/>
      <c r="EJ457" s="46"/>
      <c r="EK457" s="46"/>
      <c r="EL457" s="46"/>
      <c r="EM457" s="46"/>
      <c r="EN457" s="46"/>
      <c r="EO457" s="46"/>
      <c r="EP457" s="46"/>
      <c r="EQ457" s="46"/>
      <c r="ER457" s="46"/>
      <c r="ES457" s="46"/>
      <c r="ET457" s="46"/>
      <c r="EU457" s="46"/>
      <c r="EV457" s="46"/>
      <c r="EW457" s="46"/>
      <c r="EX457" s="46"/>
      <c r="EY457" s="46"/>
      <c r="EZ457" s="46"/>
      <c r="FA457" s="46"/>
      <c r="FB457" s="46"/>
      <c r="FC457" s="46"/>
      <c r="FD457" s="46"/>
      <c r="FE457" s="46"/>
      <c r="FF457" s="46"/>
      <c r="FG457" s="46"/>
      <c r="FH457" s="46"/>
      <c r="FI457" s="46"/>
      <c r="FJ457" s="46"/>
      <c r="FK457" s="46"/>
      <c r="FL457" s="46"/>
      <c r="FM457" s="46"/>
      <c r="FN457" s="46"/>
      <c r="FO457" s="46"/>
      <c r="FP457" s="46"/>
      <c r="FQ457" s="46"/>
      <c r="FR457" s="46"/>
      <c r="FS457" s="46"/>
      <c r="FT457" s="46"/>
      <c r="FU457" s="46"/>
      <c r="FV457" s="46"/>
      <c r="FW457" s="46"/>
      <c r="FX457" s="46"/>
      <c r="FY457" s="46"/>
      <c r="FZ457" s="46"/>
      <c r="GA457" s="46"/>
      <c r="GB457" s="46"/>
      <c r="GC457" s="46"/>
      <c r="GD457" s="46"/>
      <c r="GE457" s="46"/>
      <c r="GF457" s="46"/>
      <c r="GG457" s="46"/>
      <c r="GH457" s="46"/>
      <c r="GI457" s="46"/>
      <c r="GJ457" s="46"/>
      <c r="GK457" s="46"/>
      <c r="GL457" s="46"/>
      <c r="GM457" s="46"/>
      <c r="GN457" s="46"/>
      <c r="GO457" s="46"/>
      <c r="GP457" s="46"/>
      <c r="GQ457" s="46"/>
      <c r="GR457" s="46"/>
      <c r="GS457" s="46"/>
      <c r="GT457" s="46"/>
      <c r="GU457" s="172"/>
      <c r="GV457" s="46"/>
      <c r="GW457" s="46"/>
      <c r="GX457" s="46"/>
      <c r="GY457" s="46"/>
      <c r="GZ457" s="46"/>
      <c r="HA457" s="46"/>
      <c r="HB457" s="46"/>
      <c r="HC457" s="46"/>
      <c r="HD457" s="46"/>
      <c r="HE457" s="46"/>
      <c r="HF457" s="209"/>
      <c r="HG457" s="172"/>
    </row>
    <row r="458" spans="1:215" ht="15.75" hidden="1">
      <c r="C458" s="199" t="s">
        <v>148</v>
      </c>
      <c r="D458" s="46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F458" s="39"/>
      <c r="AG458" s="39"/>
      <c r="AH458" s="39"/>
      <c r="AI458" s="39"/>
      <c r="AJ458" s="39"/>
      <c r="AK458" s="39"/>
      <c r="AL458" s="39"/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  <c r="AW458" s="39"/>
      <c r="AX458" s="39"/>
      <c r="AY458" s="39"/>
      <c r="AZ458" s="39"/>
      <c r="BA458" s="39"/>
      <c r="BB458" s="39"/>
      <c r="BC458" s="39"/>
      <c r="BD458" s="39"/>
      <c r="BE458" s="39"/>
      <c r="BF458" s="39"/>
      <c r="BG458" s="39"/>
      <c r="BH458" s="39"/>
      <c r="BI458" s="39"/>
      <c r="BJ458" s="39"/>
      <c r="BK458" s="46"/>
      <c r="BL458" s="46"/>
      <c r="BM458" s="46"/>
      <c r="BN458" s="46"/>
      <c r="BO458" s="46"/>
      <c r="BP458" s="46"/>
      <c r="BQ458" s="46"/>
      <c r="BR458" s="46"/>
      <c r="BS458" s="46"/>
      <c r="BT458" s="46"/>
      <c r="BU458" s="46"/>
      <c r="BV458" s="46"/>
      <c r="BW458" s="46"/>
      <c r="BX458" s="46"/>
      <c r="BY458" s="46"/>
      <c r="BZ458" s="46"/>
      <c r="CA458" s="46"/>
      <c r="CB458" s="46"/>
      <c r="CC458" s="46"/>
      <c r="CD458" s="46"/>
      <c r="CE458" s="46"/>
      <c r="CF458" s="46"/>
      <c r="CG458" s="46"/>
      <c r="CH458" s="46"/>
      <c r="CI458" s="46"/>
      <c r="CJ458" s="46"/>
      <c r="CK458" s="46"/>
      <c r="CL458" s="46"/>
      <c r="CM458" s="46"/>
      <c r="CN458" s="46"/>
      <c r="CO458" s="46"/>
      <c r="CP458" s="46"/>
      <c r="CQ458" s="46"/>
      <c r="CR458" s="46"/>
      <c r="CS458" s="46"/>
      <c r="CT458" s="46"/>
      <c r="CU458" s="46"/>
      <c r="CV458" s="46"/>
      <c r="CW458" s="46"/>
      <c r="CX458" s="46"/>
      <c r="CY458" s="39"/>
      <c r="CZ458" s="39"/>
      <c r="DA458" s="39"/>
      <c r="DB458" s="39"/>
      <c r="DC458" s="46"/>
      <c r="DD458" s="46"/>
      <c r="DE458" s="46"/>
      <c r="DF458" s="46"/>
      <c r="DG458" s="46"/>
      <c r="DH458" s="46"/>
      <c r="DI458" s="39"/>
      <c r="DJ458" s="80"/>
      <c r="DK458" s="39"/>
      <c r="DL458" s="39"/>
      <c r="DM458" s="39"/>
      <c r="DN458" s="39"/>
      <c r="DO458" s="39"/>
      <c r="DP458" s="39"/>
      <c r="DQ458" s="39"/>
      <c r="DR458" s="39"/>
      <c r="DS458" s="39"/>
      <c r="DT458" s="39"/>
      <c r="DU458" s="39"/>
      <c r="DV458" s="39"/>
      <c r="DW458" s="39"/>
      <c r="DX458" s="46"/>
      <c r="DY458" s="46"/>
      <c r="DZ458" s="46"/>
      <c r="EA458" s="46"/>
      <c r="EB458" s="46"/>
      <c r="EC458" s="39"/>
      <c r="ED458" s="39"/>
      <c r="EE458" s="39"/>
      <c r="EF458" s="39"/>
      <c r="EG458" s="39"/>
      <c r="EH458" s="39"/>
      <c r="EI458" s="39"/>
      <c r="EJ458" s="39"/>
      <c r="EK458" s="39"/>
      <c r="EL458" s="46"/>
      <c r="EM458" s="46"/>
      <c r="EN458" s="39"/>
      <c r="EO458" s="39"/>
      <c r="EP458" s="39"/>
      <c r="EQ458" s="39"/>
      <c r="ER458" s="39"/>
      <c r="ES458" s="39"/>
      <c r="ET458" s="39"/>
      <c r="EU458" s="39"/>
      <c r="EV458" s="39"/>
      <c r="EW458" s="39"/>
      <c r="EX458" s="39"/>
      <c r="EY458" s="39"/>
      <c r="EZ458" s="39"/>
      <c r="FA458" s="39"/>
      <c r="FB458" s="39"/>
      <c r="FC458" s="39"/>
      <c r="FD458" s="39"/>
      <c r="FE458" s="39"/>
      <c r="FF458" s="39"/>
      <c r="FG458" s="39"/>
      <c r="FH458" s="39"/>
      <c r="FI458" s="39"/>
      <c r="FJ458" s="46"/>
      <c r="FK458" s="46"/>
      <c r="FL458" s="46"/>
      <c r="FM458" s="46"/>
      <c r="FN458" s="46"/>
      <c r="FO458" s="39"/>
      <c r="FP458" s="46"/>
      <c r="FQ458" s="46"/>
      <c r="FR458" s="39"/>
      <c r="FS458" s="39"/>
      <c r="FT458" s="46"/>
      <c r="FU458" s="46"/>
      <c r="FV458" s="39"/>
      <c r="FW458" s="39"/>
      <c r="FX458" s="39"/>
      <c r="FY458" s="39"/>
      <c r="FZ458" s="39"/>
      <c r="GA458" s="39"/>
      <c r="GB458" s="39"/>
      <c r="GC458" s="46"/>
      <c r="GD458" s="46"/>
      <c r="GE458" s="39"/>
      <c r="GF458" s="39"/>
      <c r="GG458" s="39"/>
      <c r="GH458" s="39"/>
      <c r="GI458" s="39"/>
      <c r="GJ458" s="39"/>
      <c r="GK458" s="39"/>
      <c r="GL458" s="39"/>
      <c r="GM458" s="46"/>
      <c r="GN458" s="46"/>
      <c r="GO458" s="39"/>
      <c r="GP458" s="46"/>
      <c r="GQ458" s="46"/>
      <c r="GR458" s="39"/>
      <c r="GS458" s="39"/>
      <c r="GT458" s="46"/>
      <c r="GU458" s="172"/>
      <c r="GV458" s="39"/>
      <c r="GW458" s="39"/>
      <c r="GX458" s="39"/>
      <c r="GY458" s="39"/>
      <c r="GZ458" s="39"/>
      <c r="HA458" s="39"/>
      <c r="HB458" s="46"/>
      <c r="HC458" s="46"/>
      <c r="HD458" s="39"/>
      <c r="HE458" s="39"/>
      <c r="HF458" s="209"/>
      <c r="HG458" s="172"/>
    </row>
    <row r="459" spans="1:215" s="3" customFormat="1" ht="15.75" hidden="1">
      <c r="A459" s="1"/>
      <c r="B459" s="2"/>
      <c r="C459" s="199" t="s">
        <v>148</v>
      </c>
      <c r="D459" s="46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F459" s="39"/>
      <c r="AG459" s="39"/>
      <c r="AH459" s="39"/>
      <c r="AI459" s="39"/>
      <c r="AJ459" s="39"/>
      <c r="AK459" s="39"/>
      <c r="AL459" s="39"/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  <c r="AW459" s="39"/>
      <c r="AX459" s="39"/>
      <c r="AY459" s="39"/>
      <c r="AZ459" s="39"/>
      <c r="BA459" s="39"/>
      <c r="BB459" s="39"/>
      <c r="BC459" s="39"/>
      <c r="BD459" s="39"/>
      <c r="BE459" s="39"/>
      <c r="BF459" s="39"/>
      <c r="BG459" s="39"/>
      <c r="BH459" s="39"/>
      <c r="BI459" s="39"/>
      <c r="BJ459" s="39"/>
      <c r="BK459" s="46"/>
      <c r="BL459" s="46"/>
      <c r="BM459" s="46"/>
      <c r="BN459" s="46"/>
      <c r="BO459" s="46"/>
      <c r="BP459" s="46"/>
      <c r="BQ459" s="46"/>
      <c r="BR459" s="46"/>
      <c r="BS459" s="46"/>
      <c r="BT459" s="46"/>
      <c r="BU459" s="46"/>
      <c r="BV459" s="46"/>
      <c r="BW459" s="46"/>
      <c r="BX459" s="46"/>
      <c r="BY459" s="46"/>
      <c r="BZ459" s="46"/>
      <c r="CA459" s="46"/>
      <c r="CB459" s="46"/>
      <c r="CC459" s="46"/>
      <c r="CD459" s="46"/>
      <c r="CE459" s="46"/>
      <c r="CF459" s="46"/>
      <c r="CG459" s="46"/>
      <c r="CH459" s="46"/>
      <c r="CI459" s="46"/>
      <c r="CJ459" s="46"/>
      <c r="CK459" s="46"/>
      <c r="CL459" s="46"/>
      <c r="CM459" s="46"/>
      <c r="CN459" s="46"/>
      <c r="CO459" s="46"/>
      <c r="CP459" s="46"/>
      <c r="CQ459" s="46"/>
      <c r="CR459" s="46"/>
      <c r="CS459" s="46"/>
      <c r="CT459" s="46"/>
      <c r="CU459" s="46"/>
      <c r="CV459" s="46"/>
      <c r="CW459" s="46"/>
      <c r="CX459" s="46"/>
      <c r="CY459" s="39"/>
      <c r="CZ459" s="39"/>
      <c r="DA459" s="39"/>
      <c r="DB459" s="39"/>
      <c r="DC459" s="46"/>
      <c r="DD459" s="46" t="s">
        <v>539</v>
      </c>
      <c r="DE459" s="79">
        <f>+(DE399+DG399+DE400+DG400)/1000000</f>
        <v>0.76851607300000013</v>
      </c>
      <c r="DF459" s="79"/>
      <c r="DG459" s="46"/>
      <c r="DH459" s="46"/>
      <c r="DI459" s="39"/>
      <c r="DJ459" s="80"/>
      <c r="DK459" s="39"/>
      <c r="DL459" s="39"/>
      <c r="DM459" s="39"/>
      <c r="DN459" s="39"/>
      <c r="DO459" s="39"/>
      <c r="DP459" s="39"/>
      <c r="DQ459" s="39"/>
      <c r="DR459" s="39"/>
      <c r="DS459" s="46"/>
      <c r="DT459" s="46"/>
      <c r="DU459" s="46"/>
      <c r="DV459" s="46"/>
      <c r="DW459" s="46"/>
      <c r="DX459" s="46"/>
      <c r="DY459" s="46"/>
      <c r="DZ459" s="46"/>
      <c r="EA459" s="46"/>
      <c r="EB459" s="46"/>
      <c r="EC459" s="46"/>
      <c r="ED459" s="46"/>
      <c r="EE459" s="46"/>
      <c r="EF459" s="46"/>
      <c r="EG459" s="46"/>
      <c r="EH459" s="46"/>
      <c r="EI459" s="46"/>
      <c r="EJ459" s="46"/>
      <c r="EK459" s="46"/>
      <c r="EL459" s="46"/>
      <c r="EM459" s="46"/>
      <c r="EN459" s="46"/>
      <c r="EO459" s="46"/>
      <c r="EP459" s="46"/>
      <c r="EQ459" s="46"/>
      <c r="ER459" s="46"/>
      <c r="ES459" s="46"/>
      <c r="ET459" s="46"/>
      <c r="EU459" s="46"/>
      <c r="EV459" s="46"/>
      <c r="EW459" s="46"/>
      <c r="EX459" s="46"/>
      <c r="EY459" s="46"/>
      <c r="EZ459" s="46"/>
      <c r="FA459" s="46"/>
      <c r="FB459" s="46"/>
      <c r="FC459" s="46"/>
      <c r="FD459" s="46"/>
      <c r="FE459" s="46"/>
      <c r="FF459" s="46"/>
      <c r="FG459" s="46"/>
      <c r="FH459" s="46"/>
      <c r="FI459" s="46"/>
      <c r="FJ459" s="46"/>
      <c r="FK459" s="46"/>
      <c r="FL459" s="46"/>
      <c r="FM459" s="46"/>
      <c r="FN459" s="46"/>
      <c r="FO459" s="46"/>
      <c r="FP459" s="46"/>
      <c r="FQ459" s="46"/>
      <c r="FR459" s="46"/>
      <c r="FS459" s="46"/>
      <c r="FT459" s="46"/>
      <c r="FU459" s="46"/>
      <c r="FV459" s="46"/>
      <c r="FW459" s="46"/>
      <c r="FX459" s="46"/>
      <c r="FY459" s="46"/>
      <c r="FZ459" s="46"/>
      <c r="GA459" s="46"/>
      <c r="GB459" s="46"/>
      <c r="GC459" s="46"/>
      <c r="GD459" s="46"/>
      <c r="GE459" s="46"/>
      <c r="GF459" s="46"/>
      <c r="GG459" s="46"/>
      <c r="GH459" s="46"/>
      <c r="GI459" s="46"/>
      <c r="GJ459" s="46"/>
      <c r="GK459" s="46"/>
      <c r="GL459" s="46"/>
      <c r="GM459" s="46"/>
      <c r="GN459" s="46"/>
      <c r="GO459" s="46"/>
      <c r="GP459" s="46"/>
      <c r="GQ459" s="46"/>
      <c r="GR459" s="46"/>
      <c r="GS459" s="46"/>
      <c r="GT459" s="46"/>
      <c r="GU459" s="172"/>
      <c r="GV459" s="46"/>
      <c r="GW459" s="46"/>
      <c r="GX459" s="46"/>
      <c r="GY459" s="46"/>
      <c r="GZ459" s="46"/>
      <c r="HA459" s="46"/>
      <c r="HB459" s="46"/>
      <c r="HC459" s="46"/>
      <c r="HD459" s="46"/>
      <c r="HE459" s="46"/>
      <c r="HF459" s="209"/>
      <c r="HG459" s="172"/>
    </row>
    <row r="460" spans="1:215" ht="15.75" hidden="1">
      <c r="C460" s="199" t="s">
        <v>148</v>
      </c>
      <c r="D460" s="46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F460" s="39"/>
      <c r="AG460" s="39"/>
      <c r="AH460" s="39"/>
      <c r="AI460" s="39"/>
      <c r="AJ460" s="39"/>
      <c r="AK460" s="39"/>
      <c r="AL460" s="39"/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  <c r="AW460" s="39"/>
      <c r="AX460" s="39"/>
      <c r="AY460" s="39"/>
      <c r="AZ460" s="39"/>
      <c r="BA460" s="39"/>
      <c r="BB460" s="39"/>
      <c r="BC460" s="39"/>
      <c r="BD460" s="39"/>
      <c r="BE460" s="39"/>
      <c r="BF460" s="39"/>
      <c r="BG460" s="39"/>
      <c r="BH460" s="39"/>
      <c r="BI460" s="39"/>
      <c r="BJ460" s="39"/>
      <c r="BK460" s="46"/>
      <c r="BL460" s="46"/>
      <c r="BM460" s="46"/>
      <c r="BN460" s="46"/>
      <c r="BO460" s="46"/>
      <c r="BP460" s="46"/>
      <c r="BQ460" s="46"/>
      <c r="BR460" s="46"/>
      <c r="BS460" s="46"/>
      <c r="BT460" s="46"/>
      <c r="BU460" s="46"/>
      <c r="BV460" s="46"/>
      <c r="BW460" s="46"/>
      <c r="BX460" s="46"/>
      <c r="BY460" s="46"/>
      <c r="BZ460" s="46"/>
      <c r="CA460" s="46"/>
      <c r="CB460" s="46"/>
      <c r="CC460" s="46"/>
      <c r="CD460" s="46"/>
      <c r="CE460" s="46"/>
      <c r="CF460" s="46"/>
      <c r="CG460" s="46"/>
      <c r="CH460" s="46"/>
      <c r="CI460" s="46"/>
      <c r="CJ460" s="46"/>
      <c r="CK460" s="46"/>
      <c r="CL460" s="46"/>
      <c r="CM460" s="46"/>
      <c r="CN460" s="46"/>
      <c r="CO460" s="46"/>
      <c r="CP460" s="46"/>
      <c r="CQ460" s="46"/>
      <c r="CR460" s="46"/>
      <c r="CS460" s="46"/>
      <c r="CT460" s="46"/>
      <c r="CU460" s="46"/>
      <c r="CV460" s="46"/>
      <c r="CW460" s="46"/>
      <c r="CX460" s="46"/>
      <c r="CY460" s="39"/>
      <c r="CZ460" s="39"/>
      <c r="DA460" s="39"/>
      <c r="DB460" s="39"/>
      <c r="DC460" s="46"/>
      <c r="DD460" s="46"/>
      <c r="DE460" s="46"/>
      <c r="DF460" s="46"/>
      <c r="DG460" s="46"/>
      <c r="DH460" s="46"/>
      <c r="DI460" s="39"/>
      <c r="DJ460" s="80"/>
      <c r="DK460" s="39"/>
      <c r="DL460" s="39"/>
      <c r="DM460" s="39"/>
      <c r="DN460" s="39"/>
      <c r="DO460" s="39"/>
      <c r="DP460" s="39"/>
      <c r="DQ460" s="39"/>
      <c r="DR460" s="39"/>
      <c r="DS460" s="39"/>
      <c r="DT460" s="39"/>
      <c r="DU460" s="39"/>
      <c r="DV460" s="39"/>
      <c r="DW460" s="39"/>
      <c r="DX460" s="46"/>
      <c r="DY460" s="46"/>
      <c r="DZ460" s="46"/>
      <c r="EA460" s="46"/>
      <c r="EB460" s="46"/>
      <c r="EC460" s="39"/>
      <c r="ED460" s="39"/>
      <c r="EE460" s="39"/>
      <c r="EF460" s="39"/>
      <c r="EG460" s="39"/>
      <c r="EH460" s="39"/>
      <c r="EI460" s="39"/>
      <c r="EJ460" s="39"/>
      <c r="EK460" s="39"/>
      <c r="EL460" s="46"/>
      <c r="EM460" s="46"/>
      <c r="EN460" s="39"/>
      <c r="EO460" s="39"/>
      <c r="EP460" s="39"/>
      <c r="EQ460" s="39"/>
      <c r="ER460" s="39"/>
      <c r="ES460" s="39"/>
      <c r="ET460" s="39"/>
      <c r="EU460" s="39"/>
      <c r="EV460" s="39"/>
      <c r="EW460" s="39"/>
      <c r="EX460" s="39"/>
      <c r="EY460" s="39"/>
      <c r="EZ460" s="39"/>
      <c r="FA460" s="39"/>
      <c r="FB460" s="39"/>
      <c r="FC460" s="39"/>
      <c r="FD460" s="39"/>
      <c r="FE460" s="39"/>
      <c r="FF460" s="39"/>
      <c r="FG460" s="39"/>
      <c r="FH460" s="39"/>
      <c r="FI460" s="39"/>
      <c r="FJ460" s="46"/>
      <c r="FK460" s="46"/>
      <c r="FL460" s="46"/>
      <c r="FM460" s="46"/>
      <c r="FN460" s="46"/>
      <c r="FO460" s="39"/>
      <c r="FP460" s="46"/>
      <c r="FQ460" s="46"/>
      <c r="FR460" s="39"/>
      <c r="FS460" s="39"/>
      <c r="FT460" s="46"/>
      <c r="FU460" s="46"/>
      <c r="FV460" s="39"/>
      <c r="FW460" s="39"/>
      <c r="FX460" s="39"/>
      <c r="FY460" s="39"/>
      <c r="FZ460" s="39"/>
      <c r="GA460" s="39"/>
      <c r="GB460" s="39"/>
      <c r="GC460" s="46"/>
      <c r="GD460" s="46"/>
      <c r="GE460" s="39"/>
      <c r="GF460" s="39"/>
      <c r="GG460" s="39"/>
      <c r="GH460" s="39"/>
      <c r="GI460" s="39"/>
      <c r="GJ460" s="39"/>
      <c r="GK460" s="39"/>
      <c r="GL460" s="39"/>
      <c r="GM460" s="46"/>
      <c r="GN460" s="46"/>
      <c r="GO460" s="39"/>
      <c r="GP460" s="46"/>
      <c r="GQ460" s="46"/>
      <c r="GR460" s="39"/>
      <c r="GS460" s="39"/>
      <c r="GT460" s="46"/>
      <c r="GU460" s="172"/>
      <c r="GV460" s="39"/>
      <c r="GW460" s="39"/>
      <c r="GX460" s="39"/>
      <c r="GY460" s="39"/>
      <c r="GZ460" s="39"/>
      <c r="HA460" s="39"/>
      <c r="HB460" s="46"/>
      <c r="HC460" s="46"/>
      <c r="HD460" s="39"/>
      <c r="HE460" s="39"/>
      <c r="HF460" s="209"/>
      <c r="HG460" s="172"/>
    </row>
    <row r="461" spans="1:215" s="3" customFormat="1" ht="15.75" hidden="1">
      <c r="A461" s="1"/>
      <c r="B461" s="2"/>
      <c r="C461" s="199" t="s">
        <v>148</v>
      </c>
      <c r="D461" s="46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F461" s="39"/>
      <c r="AG461" s="39"/>
      <c r="AH461" s="39"/>
      <c r="AI461" s="39"/>
      <c r="AJ461" s="39"/>
      <c r="AK461" s="39"/>
      <c r="AL461" s="39"/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  <c r="AW461" s="39"/>
      <c r="AX461" s="39"/>
      <c r="AY461" s="39"/>
      <c r="AZ461" s="39"/>
      <c r="BA461" s="39"/>
      <c r="BB461" s="39"/>
      <c r="BC461" s="39"/>
      <c r="BD461" s="39"/>
      <c r="BE461" s="39"/>
      <c r="BF461" s="39"/>
      <c r="BG461" s="39"/>
      <c r="BH461" s="39"/>
      <c r="BI461" s="39"/>
      <c r="BJ461" s="39"/>
      <c r="BK461" s="46"/>
      <c r="BL461" s="46"/>
      <c r="BM461" s="46"/>
      <c r="BN461" s="46"/>
      <c r="BO461" s="46"/>
      <c r="BP461" s="46"/>
      <c r="BQ461" s="46"/>
      <c r="BR461" s="46"/>
      <c r="BS461" s="46"/>
      <c r="BT461" s="46"/>
      <c r="BU461" s="46"/>
      <c r="BV461" s="46"/>
      <c r="BW461" s="46"/>
      <c r="BX461" s="46"/>
      <c r="BY461" s="46"/>
      <c r="BZ461" s="46"/>
      <c r="CA461" s="46"/>
      <c r="CB461" s="46"/>
      <c r="CC461" s="46"/>
      <c r="CD461" s="46"/>
      <c r="CE461" s="46"/>
      <c r="CF461" s="46"/>
      <c r="CG461" s="46"/>
      <c r="CH461" s="46"/>
      <c r="CI461" s="46"/>
      <c r="CJ461" s="46"/>
      <c r="CK461" s="46"/>
      <c r="CL461" s="46"/>
      <c r="CM461" s="46"/>
      <c r="CN461" s="46"/>
      <c r="CO461" s="46"/>
      <c r="CP461" s="46"/>
      <c r="CQ461" s="46"/>
      <c r="CR461" s="46"/>
      <c r="CS461" s="46"/>
      <c r="CT461" s="46"/>
      <c r="CU461" s="46"/>
      <c r="CV461" s="46"/>
      <c r="CW461" s="46"/>
      <c r="CX461" s="46"/>
      <c r="CY461" s="39"/>
      <c r="CZ461" s="39"/>
      <c r="DA461" s="39"/>
      <c r="DB461" s="39"/>
      <c r="DC461" s="46"/>
      <c r="DD461" s="46" t="s">
        <v>540</v>
      </c>
      <c r="DE461" s="79" t="e">
        <f>+(#REF!+#REF!+#REF!+#REF!+#REF!+#REF!)/1000000</f>
        <v>#REF!</v>
      </c>
      <c r="DF461" s="79"/>
      <c r="DG461" s="46"/>
      <c r="DH461" s="46"/>
      <c r="DI461" s="39"/>
      <c r="DJ461" s="80"/>
      <c r="DK461" s="39"/>
      <c r="DL461" s="39"/>
      <c r="DM461" s="39"/>
      <c r="DN461" s="39"/>
      <c r="DO461" s="39"/>
      <c r="DP461" s="39"/>
      <c r="DQ461" s="39"/>
      <c r="DR461" s="39"/>
      <c r="DS461" s="46"/>
      <c r="DT461" s="46"/>
      <c r="DU461" s="46"/>
      <c r="DV461" s="46"/>
      <c r="DW461" s="46"/>
      <c r="DX461" s="46"/>
      <c r="DY461" s="46"/>
      <c r="DZ461" s="46"/>
      <c r="EA461" s="46"/>
      <c r="EB461" s="46"/>
      <c r="EC461" s="46"/>
      <c r="ED461" s="46"/>
      <c r="EE461" s="46"/>
      <c r="EF461" s="46"/>
      <c r="EG461" s="46"/>
      <c r="EH461" s="46"/>
      <c r="EI461" s="46"/>
      <c r="EJ461" s="46"/>
      <c r="EK461" s="46"/>
      <c r="EL461" s="46"/>
      <c r="EM461" s="46"/>
      <c r="EN461" s="46"/>
      <c r="EO461" s="46"/>
      <c r="EP461" s="46"/>
      <c r="EQ461" s="46"/>
      <c r="ER461" s="46"/>
      <c r="ES461" s="46"/>
      <c r="ET461" s="46"/>
      <c r="EU461" s="46"/>
      <c r="EV461" s="46"/>
      <c r="EW461" s="46"/>
      <c r="EX461" s="46"/>
      <c r="EY461" s="46"/>
      <c r="EZ461" s="46"/>
      <c r="FA461" s="46"/>
      <c r="FB461" s="46"/>
      <c r="FC461" s="46"/>
      <c r="FD461" s="46"/>
      <c r="FE461" s="46"/>
      <c r="FF461" s="46"/>
      <c r="FG461" s="46"/>
      <c r="FH461" s="46"/>
      <c r="FI461" s="46"/>
      <c r="FJ461" s="46"/>
      <c r="FK461" s="46"/>
      <c r="FL461" s="46"/>
      <c r="FM461" s="46"/>
      <c r="FN461" s="46"/>
      <c r="FO461" s="46"/>
      <c r="FP461" s="46"/>
      <c r="FQ461" s="46"/>
      <c r="FR461" s="46"/>
      <c r="FS461" s="46"/>
      <c r="FT461" s="46"/>
      <c r="FU461" s="46"/>
      <c r="FV461" s="46"/>
      <c r="FW461" s="46"/>
      <c r="FX461" s="46"/>
      <c r="FY461" s="46"/>
      <c r="FZ461" s="46"/>
      <c r="GA461" s="46"/>
      <c r="GB461" s="46"/>
      <c r="GC461" s="46"/>
      <c r="GD461" s="46"/>
      <c r="GE461" s="46"/>
      <c r="GF461" s="46"/>
      <c r="GG461" s="46"/>
      <c r="GH461" s="46"/>
      <c r="GI461" s="46"/>
      <c r="GJ461" s="46"/>
      <c r="GK461" s="46"/>
      <c r="GL461" s="46"/>
      <c r="GM461" s="46"/>
      <c r="GN461" s="46"/>
      <c r="GO461" s="46"/>
      <c r="GP461" s="46"/>
      <c r="GQ461" s="46"/>
      <c r="GR461" s="46"/>
      <c r="GS461" s="46"/>
      <c r="GT461" s="46"/>
      <c r="GU461" s="172"/>
      <c r="GV461" s="46"/>
      <c r="GW461" s="46"/>
      <c r="GX461" s="46"/>
      <c r="GY461" s="46"/>
      <c r="GZ461" s="46"/>
      <c r="HA461" s="46"/>
      <c r="HB461" s="46"/>
      <c r="HC461" s="46"/>
      <c r="HD461" s="46"/>
      <c r="HE461" s="46"/>
      <c r="HF461" s="209"/>
      <c r="HG461" s="172"/>
    </row>
    <row r="462" spans="1:215" ht="15.75" hidden="1">
      <c r="C462" s="199" t="s">
        <v>148</v>
      </c>
      <c r="D462" s="46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F462" s="39"/>
      <c r="AG462" s="39"/>
      <c r="AH462" s="39"/>
      <c r="AI462" s="39"/>
      <c r="AJ462" s="39"/>
      <c r="AK462" s="39"/>
      <c r="AL462" s="39"/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  <c r="AW462" s="39"/>
      <c r="AX462" s="39"/>
      <c r="AY462" s="39"/>
      <c r="AZ462" s="39"/>
      <c r="BA462" s="39"/>
      <c r="BB462" s="39"/>
      <c r="BC462" s="39"/>
      <c r="BD462" s="39"/>
      <c r="BE462" s="39"/>
      <c r="BF462" s="39"/>
      <c r="BG462" s="39"/>
      <c r="BH462" s="39"/>
      <c r="BI462" s="39"/>
      <c r="BJ462" s="39"/>
      <c r="BK462" s="46"/>
      <c r="BL462" s="46"/>
      <c r="BM462" s="46"/>
      <c r="BN462" s="46"/>
      <c r="BO462" s="46"/>
      <c r="BP462" s="46"/>
      <c r="BQ462" s="46"/>
      <c r="BR462" s="46"/>
      <c r="BS462" s="46"/>
      <c r="BT462" s="46"/>
      <c r="BU462" s="46"/>
      <c r="BV462" s="46"/>
      <c r="BW462" s="46"/>
      <c r="BX462" s="46"/>
      <c r="BY462" s="46"/>
      <c r="BZ462" s="46"/>
      <c r="CA462" s="46"/>
      <c r="CB462" s="46"/>
      <c r="CC462" s="46"/>
      <c r="CD462" s="46"/>
      <c r="CE462" s="46"/>
      <c r="CF462" s="46"/>
      <c r="CG462" s="46"/>
      <c r="CH462" s="46"/>
      <c r="CI462" s="46"/>
      <c r="CJ462" s="46"/>
      <c r="CK462" s="46"/>
      <c r="CL462" s="46"/>
      <c r="CM462" s="46"/>
      <c r="CN462" s="46"/>
      <c r="CO462" s="46"/>
      <c r="CP462" s="46"/>
      <c r="CQ462" s="46"/>
      <c r="CR462" s="46"/>
      <c r="CS462" s="46"/>
      <c r="CT462" s="46"/>
      <c r="CU462" s="46"/>
      <c r="CV462" s="46"/>
      <c r="CW462" s="46"/>
      <c r="CX462" s="46"/>
      <c r="CY462" s="39"/>
      <c r="CZ462" s="39"/>
      <c r="DA462" s="39"/>
      <c r="DB462" s="39"/>
      <c r="DC462" s="46"/>
      <c r="DD462" s="46"/>
      <c r="DE462" s="46"/>
      <c r="DF462" s="46"/>
      <c r="DG462" s="46"/>
      <c r="DH462" s="46"/>
      <c r="DI462" s="39"/>
      <c r="DJ462" s="80"/>
      <c r="DK462" s="39"/>
      <c r="DL462" s="39"/>
      <c r="DM462" s="39"/>
      <c r="DN462" s="39"/>
      <c r="DO462" s="39"/>
      <c r="DP462" s="39"/>
      <c r="DQ462" s="39"/>
      <c r="DR462" s="39"/>
      <c r="DS462" s="39"/>
      <c r="DT462" s="39"/>
      <c r="DU462" s="39"/>
      <c r="DV462" s="39"/>
      <c r="DW462" s="39"/>
      <c r="DX462" s="46"/>
      <c r="DY462" s="46"/>
      <c r="DZ462" s="46"/>
      <c r="EA462" s="46"/>
      <c r="EB462" s="46"/>
      <c r="EC462" s="39"/>
      <c r="ED462" s="39"/>
      <c r="EE462" s="39"/>
      <c r="EF462" s="39"/>
      <c r="EG462" s="39"/>
      <c r="EH462" s="39"/>
      <c r="EI462" s="39"/>
      <c r="EJ462" s="39"/>
      <c r="EK462" s="39"/>
      <c r="EL462" s="46"/>
      <c r="EM462" s="46"/>
      <c r="EN462" s="39"/>
      <c r="EO462" s="39"/>
      <c r="EP462" s="39"/>
      <c r="EQ462" s="39"/>
      <c r="ER462" s="39"/>
      <c r="ES462" s="39"/>
      <c r="ET462" s="39"/>
      <c r="EU462" s="39"/>
      <c r="EV462" s="39"/>
      <c r="EW462" s="39"/>
      <c r="EX462" s="39"/>
      <c r="EY462" s="39"/>
      <c r="EZ462" s="39"/>
      <c r="FA462" s="39"/>
      <c r="FB462" s="39"/>
      <c r="FC462" s="39"/>
      <c r="FD462" s="39"/>
      <c r="FE462" s="39"/>
      <c r="FF462" s="39"/>
      <c r="FG462" s="39"/>
      <c r="FH462" s="39"/>
      <c r="FI462" s="39"/>
      <c r="FJ462" s="46"/>
      <c r="FK462" s="46"/>
      <c r="FL462" s="46"/>
      <c r="FM462" s="46"/>
      <c r="FN462" s="46"/>
      <c r="FO462" s="39"/>
      <c r="FP462" s="46"/>
      <c r="FQ462" s="46"/>
      <c r="FR462" s="39"/>
      <c r="FS462" s="39"/>
      <c r="FT462" s="46"/>
      <c r="FU462" s="46"/>
      <c r="FV462" s="39"/>
      <c r="FW462" s="39"/>
      <c r="FX462" s="39"/>
      <c r="FY462" s="39"/>
      <c r="FZ462" s="39"/>
      <c r="GA462" s="39"/>
      <c r="GB462" s="39"/>
      <c r="GC462" s="46"/>
      <c r="GD462" s="46"/>
      <c r="GE462" s="39"/>
      <c r="GF462" s="39"/>
      <c r="GG462" s="39"/>
      <c r="GH462" s="39"/>
      <c r="GI462" s="39"/>
      <c r="GJ462" s="39"/>
      <c r="GK462" s="39"/>
      <c r="GL462" s="39"/>
      <c r="GM462" s="46"/>
      <c r="GN462" s="46"/>
      <c r="GO462" s="39"/>
      <c r="GP462" s="46"/>
      <c r="GQ462" s="46"/>
      <c r="GR462" s="39"/>
      <c r="GS462" s="39"/>
      <c r="GT462" s="46"/>
      <c r="GU462" s="172"/>
      <c r="GV462" s="39"/>
      <c r="GW462" s="39"/>
      <c r="GX462" s="39"/>
      <c r="GY462" s="39"/>
      <c r="GZ462" s="39"/>
      <c r="HA462" s="39"/>
      <c r="HB462" s="46"/>
      <c r="HC462" s="46"/>
      <c r="HD462" s="39"/>
      <c r="HE462" s="39"/>
      <c r="HF462" s="209"/>
      <c r="HG462" s="172"/>
    </row>
    <row r="463" spans="1:215" s="3" customFormat="1" ht="15.75" hidden="1">
      <c r="A463" s="1"/>
      <c r="B463" s="2"/>
      <c r="C463" s="199" t="s">
        <v>148</v>
      </c>
      <c r="D463" s="46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F463" s="39"/>
      <c r="AG463" s="39"/>
      <c r="AH463" s="39"/>
      <c r="AI463" s="39"/>
      <c r="AJ463" s="39"/>
      <c r="AK463" s="39"/>
      <c r="AL463" s="39"/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  <c r="AW463" s="39"/>
      <c r="AX463" s="39"/>
      <c r="AY463" s="39"/>
      <c r="AZ463" s="39"/>
      <c r="BA463" s="39"/>
      <c r="BB463" s="39"/>
      <c r="BC463" s="39"/>
      <c r="BD463" s="39"/>
      <c r="BE463" s="39"/>
      <c r="BF463" s="39"/>
      <c r="BG463" s="39"/>
      <c r="BH463" s="39"/>
      <c r="BI463" s="39"/>
      <c r="BJ463" s="39"/>
      <c r="BK463" s="46"/>
      <c r="BL463" s="46"/>
      <c r="BM463" s="46"/>
      <c r="BN463" s="46"/>
      <c r="BO463" s="46"/>
      <c r="BP463" s="46"/>
      <c r="BQ463" s="46"/>
      <c r="BR463" s="46"/>
      <c r="BS463" s="46"/>
      <c r="BT463" s="46"/>
      <c r="BU463" s="46"/>
      <c r="BV463" s="46"/>
      <c r="BW463" s="46"/>
      <c r="BX463" s="46"/>
      <c r="BY463" s="46"/>
      <c r="BZ463" s="46"/>
      <c r="CA463" s="46"/>
      <c r="CB463" s="46"/>
      <c r="CC463" s="46"/>
      <c r="CD463" s="46"/>
      <c r="CE463" s="46"/>
      <c r="CF463" s="46"/>
      <c r="CG463" s="46"/>
      <c r="CH463" s="46"/>
      <c r="CI463" s="46"/>
      <c r="CJ463" s="46"/>
      <c r="CK463" s="46"/>
      <c r="CL463" s="46"/>
      <c r="CM463" s="46"/>
      <c r="CN463" s="46"/>
      <c r="CO463" s="46"/>
      <c r="CP463" s="46"/>
      <c r="CQ463" s="46"/>
      <c r="CR463" s="46"/>
      <c r="CS463" s="46"/>
      <c r="CT463" s="46"/>
      <c r="CU463" s="46"/>
      <c r="CV463" s="46"/>
      <c r="CW463" s="46"/>
      <c r="CX463" s="46"/>
      <c r="CY463" s="39"/>
      <c r="CZ463" s="39"/>
      <c r="DA463" s="39"/>
      <c r="DB463" s="39"/>
      <c r="DC463" s="46"/>
      <c r="DD463" s="46" t="s">
        <v>541</v>
      </c>
      <c r="DE463" s="19" t="e">
        <f>+(DE444+DE445)/1000000-DE453-DE457-DE461</f>
        <v>#REF!</v>
      </c>
      <c r="DF463" s="19"/>
      <c r="DG463" s="46"/>
      <c r="DH463" s="46"/>
      <c r="DI463" s="39"/>
      <c r="DJ463" s="80"/>
      <c r="DK463" s="39"/>
      <c r="DL463" s="39"/>
      <c r="DM463" s="39"/>
      <c r="DN463" s="39"/>
      <c r="DO463" s="39"/>
      <c r="DP463" s="39"/>
      <c r="DQ463" s="39"/>
      <c r="DR463" s="39"/>
      <c r="DS463" s="46"/>
      <c r="DT463" s="46"/>
      <c r="DU463" s="46"/>
      <c r="DV463" s="46"/>
      <c r="DW463" s="46"/>
      <c r="DX463" s="46"/>
      <c r="DY463" s="46"/>
      <c r="DZ463" s="46"/>
      <c r="EA463" s="46"/>
      <c r="EB463" s="46"/>
      <c r="EC463" s="46"/>
      <c r="ED463" s="46"/>
      <c r="EE463" s="46"/>
      <c r="EF463" s="46"/>
      <c r="EG463" s="46"/>
      <c r="EH463" s="46"/>
      <c r="EI463" s="46"/>
      <c r="EJ463" s="46"/>
      <c r="EK463" s="46"/>
      <c r="EL463" s="46"/>
      <c r="EM463" s="46"/>
      <c r="EN463" s="46"/>
      <c r="EO463" s="46"/>
      <c r="EP463" s="46"/>
      <c r="EQ463" s="46"/>
      <c r="ER463" s="46"/>
      <c r="ES463" s="46"/>
      <c r="ET463" s="46"/>
      <c r="EU463" s="46"/>
      <c r="EV463" s="46"/>
      <c r="EW463" s="46"/>
      <c r="EX463" s="46"/>
      <c r="EY463" s="46"/>
      <c r="EZ463" s="46"/>
      <c r="FA463" s="46"/>
      <c r="FB463" s="46"/>
      <c r="FC463" s="46"/>
      <c r="FD463" s="46"/>
      <c r="FE463" s="46"/>
      <c r="FF463" s="46"/>
      <c r="FG463" s="46"/>
      <c r="FH463" s="46"/>
      <c r="FI463" s="46"/>
      <c r="FJ463" s="46"/>
      <c r="FK463" s="46"/>
      <c r="FL463" s="46"/>
      <c r="FM463" s="46"/>
      <c r="FN463" s="46"/>
      <c r="FO463" s="46"/>
      <c r="FP463" s="46"/>
      <c r="FQ463" s="46"/>
      <c r="FR463" s="46"/>
      <c r="FS463" s="46"/>
      <c r="FT463" s="46"/>
      <c r="FU463" s="46"/>
      <c r="FV463" s="46"/>
      <c r="FW463" s="46"/>
      <c r="FX463" s="46"/>
      <c r="FY463" s="46"/>
      <c r="FZ463" s="46"/>
      <c r="GA463" s="46"/>
      <c r="GB463" s="46"/>
      <c r="GC463" s="46"/>
      <c r="GD463" s="46"/>
      <c r="GE463" s="46"/>
      <c r="GF463" s="46"/>
      <c r="GG463" s="46"/>
      <c r="GH463" s="46"/>
      <c r="GI463" s="46"/>
      <c r="GJ463" s="46"/>
      <c r="GK463" s="46"/>
      <c r="GL463" s="46"/>
      <c r="GM463" s="46"/>
      <c r="GN463" s="46"/>
      <c r="GO463" s="46"/>
      <c r="GP463" s="46"/>
      <c r="GQ463" s="46"/>
      <c r="GR463" s="46"/>
      <c r="GS463" s="46"/>
      <c r="GT463" s="46"/>
      <c r="GU463" s="172"/>
      <c r="GV463" s="46"/>
      <c r="GW463" s="46"/>
      <c r="GX463" s="46"/>
      <c r="GY463" s="46"/>
      <c r="GZ463" s="46"/>
      <c r="HA463" s="46"/>
      <c r="HB463" s="46"/>
      <c r="HC463" s="46"/>
      <c r="HD463" s="46"/>
      <c r="HE463" s="46"/>
      <c r="HF463" s="209"/>
      <c r="HG463" s="172"/>
    </row>
    <row r="464" spans="1:215" s="3" customFormat="1" ht="15.75" hidden="1">
      <c r="A464" s="1"/>
      <c r="B464" s="2"/>
      <c r="C464" s="199" t="s">
        <v>148</v>
      </c>
      <c r="D464" s="46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F464" s="39"/>
      <c r="AG464" s="39"/>
      <c r="AH464" s="39"/>
      <c r="AI464" s="39"/>
      <c r="AJ464" s="39"/>
      <c r="AK464" s="39"/>
      <c r="AL464" s="39"/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  <c r="AW464" s="39"/>
      <c r="AX464" s="39"/>
      <c r="AY464" s="39"/>
      <c r="AZ464" s="39"/>
      <c r="BA464" s="39"/>
      <c r="BB464" s="39"/>
      <c r="BC464" s="39"/>
      <c r="BD464" s="39"/>
      <c r="BE464" s="39"/>
      <c r="BF464" s="39"/>
      <c r="BG464" s="39"/>
      <c r="BH464" s="39"/>
      <c r="BI464" s="39"/>
      <c r="BJ464" s="39"/>
      <c r="BK464" s="46"/>
      <c r="BL464" s="46"/>
      <c r="BM464" s="46"/>
      <c r="BN464" s="46"/>
      <c r="BO464" s="46"/>
      <c r="BP464" s="46"/>
      <c r="BQ464" s="46"/>
      <c r="BR464" s="46"/>
      <c r="BS464" s="46"/>
      <c r="BT464" s="46"/>
      <c r="BU464" s="46"/>
      <c r="BV464" s="46"/>
      <c r="BW464" s="46"/>
      <c r="BX464" s="46"/>
      <c r="BY464" s="46"/>
      <c r="BZ464" s="46"/>
      <c r="CA464" s="46"/>
      <c r="CB464" s="46"/>
      <c r="CC464" s="46"/>
      <c r="CD464" s="46"/>
      <c r="CE464" s="46"/>
      <c r="CF464" s="46"/>
      <c r="CG464" s="46"/>
      <c r="CH464" s="46"/>
      <c r="CI464" s="46"/>
      <c r="CJ464" s="46"/>
      <c r="CK464" s="46"/>
      <c r="CL464" s="46"/>
      <c r="CM464" s="46"/>
      <c r="CN464" s="46"/>
      <c r="CO464" s="46"/>
      <c r="CP464" s="46"/>
      <c r="CQ464" s="46"/>
      <c r="CR464" s="46"/>
      <c r="CS464" s="46"/>
      <c r="CT464" s="46"/>
      <c r="CU464" s="46"/>
      <c r="CV464" s="46"/>
      <c r="CW464" s="46"/>
      <c r="CX464" s="46"/>
      <c r="CY464" s="39"/>
      <c r="CZ464" s="39"/>
      <c r="DA464" s="39"/>
      <c r="DB464" s="39"/>
      <c r="DC464" s="46"/>
      <c r="DD464" s="46" t="s">
        <v>542</v>
      </c>
      <c r="DE464" s="79" t="e">
        <f>+(DE446+DE447+DE448)/1000000-DE459-DE454</f>
        <v>#REF!</v>
      </c>
      <c r="DF464" s="79"/>
      <c r="DG464" s="46"/>
      <c r="DH464" s="46"/>
      <c r="DI464" s="39"/>
      <c r="DJ464" s="80"/>
      <c r="DK464" s="39"/>
      <c r="DL464" s="39"/>
      <c r="DM464" s="39"/>
      <c r="DN464" s="39"/>
      <c r="DO464" s="39"/>
      <c r="DP464" s="39"/>
      <c r="DQ464" s="39"/>
      <c r="DR464" s="39"/>
      <c r="DS464" s="46"/>
      <c r="DT464" s="46"/>
      <c r="DU464" s="46"/>
      <c r="DV464" s="46"/>
      <c r="DW464" s="46"/>
      <c r="DX464" s="46"/>
      <c r="DY464" s="46"/>
      <c r="DZ464" s="46"/>
      <c r="EA464" s="46"/>
      <c r="EB464" s="46"/>
      <c r="EC464" s="46"/>
      <c r="ED464" s="46"/>
      <c r="EE464" s="46"/>
      <c r="EF464" s="46"/>
      <c r="EG464" s="46"/>
      <c r="EH464" s="46"/>
      <c r="EI464" s="46"/>
      <c r="EJ464" s="46"/>
      <c r="EK464" s="46"/>
      <c r="EL464" s="46"/>
      <c r="EM464" s="46"/>
      <c r="EN464" s="46"/>
      <c r="EO464" s="46"/>
      <c r="EP464" s="46"/>
      <c r="EQ464" s="46"/>
      <c r="ER464" s="46"/>
      <c r="ES464" s="46"/>
      <c r="ET464" s="46"/>
      <c r="EU464" s="46"/>
      <c r="EV464" s="46"/>
      <c r="EW464" s="46"/>
      <c r="EX464" s="46"/>
      <c r="EY464" s="46"/>
      <c r="EZ464" s="46"/>
      <c r="FA464" s="46"/>
      <c r="FB464" s="46"/>
      <c r="FC464" s="46"/>
      <c r="FD464" s="46"/>
      <c r="FE464" s="46"/>
      <c r="FF464" s="46"/>
      <c r="FG464" s="46"/>
      <c r="FH464" s="46"/>
      <c r="FI464" s="46"/>
      <c r="FJ464" s="46"/>
      <c r="FK464" s="46"/>
      <c r="FL464" s="46"/>
      <c r="FM464" s="46"/>
      <c r="FN464" s="46"/>
      <c r="FO464" s="46"/>
      <c r="FP464" s="46"/>
      <c r="FQ464" s="46"/>
      <c r="FR464" s="46"/>
      <c r="FS464" s="46"/>
      <c r="FT464" s="46"/>
      <c r="FU464" s="46"/>
      <c r="FV464" s="46"/>
      <c r="FW464" s="46"/>
      <c r="FX464" s="46"/>
      <c r="FY464" s="46"/>
      <c r="FZ464" s="46"/>
      <c r="GA464" s="46"/>
      <c r="GB464" s="46"/>
      <c r="GC464" s="46"/>
      <c r="GD464" s="46"/>
      <c r="GE464" s="46"/>
      <c r="GF464" s="46"/>
      <c r="GG464" s="46"/>
      <c r="GH464" s="46"/>
      <c r="GI464" s="46"/>
      <c r="GJ464" s="46"/>
      <c r="GK464" s="46"/>
      <c r="GL464" s="46"/>
      <c r="GM464" s="46"/>
      <c r="GN464" s="46"/>
      <c r="GO464" s="46"/>
      <c r="GP464" s="46"/>
      <c r="GQ464" s="46"/>
      <c r="GR464" s="46"/>
      <c r="GS464" s="46"/>
      <c r="GT464" s="46"/>
      <c r="GU464" s="172"/>
      <c r="GV464" s="46"/>
      <c r="GW464" s="46"/>
      <c r="GX464" s="46"/>
      <c r="GY464" s="46"/>
      <c r="GZ464" s="46"/>
      <c r="HA464" s="46"/>
      <c r="HB464" s="46"/>
      <c r="HC464" s="46"/>
      <c r="HD464" s="46"/>
      <c r="HE464" s="46"/>
      <c r="HF464" s="209"/>
      <c r="HG464" s="172"/>
    </row>
    <row r="465" spans="1:215" s="3" customFormat="1" ht="15.75" hidden="1">
      <c r="A465" s="1"/>
      <c r="B465" s="2"/>
      <c r="C465" s="199" t="s">
        <v>148</v>
      </c>
      <c r="D465" s="46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F465" s="39"/>
      <c r="AG465" s="39"/>
      <c r="AH465" s="39"/>
      <c r="AI465" s="39"/>
      <c r="AJ465" s="39"/>
      <c r="AK465" s="39"/>
      <c r="AL465" s="39"/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  <c r="AW465" s="39"/>
      <c r="AX465" s="39"/>
      <c r="AY465" s="39"/>
      <c r="AZ465" s="39"/>
      <c r="BA465" s="39"/>
      <c r="BB465" s="39"/>
      <c r="BC465" s="39"/>
      <c r="BD465" s="39"/>
      <c r="BE465" s="39"/>
      <c r="BF465" s="39"/>
      <c r="BG465" s="39"/>
      <c r="BH465" s="39"/>
      <c r="BI465" s="39"/>
      <c r="BJ465" s="39"/>
      <c r="BK465" s="46"/>
      <c r="BL465" s="46"/>
      <c r="BM465" s="46"/>
      <c r="BN465" s="46"/>
      <c r="BO465" s="46"/>
      <c r="BP465" s="46"/>
      <c r="BQ465" s="46"/>
      <c r="BR465" s="46"/>
      <c r="BS465" s="46"/>
      <c r="BT465" s="46"/>
      <c r="BU465" s="46"/>
      <c r="BV465" s="46"/>
      <c r="BW465" s="46"/>
      <c r="BX465" s="46"/>
      <c r="BY465" s="46"/>
      <c r="BZ465" s="46"/>
      <c r="CA465" s="46"/>
      <c r="CB465" s="46"/>
      <c r="CC465" s="46"/>
      <c r="CD465" s="46"/>
      <c r="CE465" s="46"/>
      <c r="CF465" s="46"/>
      <c r="CG465" s="46"/>
      <c r="CH465" s="46"/>
      <c r="CI465" s="46"/>
      <c r="CJ465" s="46"/>
      <c r="CK465" s="46"/>
      <c r="CL465" s="46"/>
      <c r="CM465" s="46"/>
      <c r="CN465" s="46"/>
      <c r="CO465" s="46"/>
      <c r="CP465" s="46"/>
      <c r="CQ465" s="46"/>
      <c r="CR465" s="46"/>
      <c r="CS465" s="46"/>
      <c r="CT465" s="46"/>
      <c r="CU465" s="46"/>
      <c r="CV465" s="46"/>
      <c r="CW465" s="46"/>
      <c r="CX465" s="46"/>
      <c r="CY465" s="39"/>
      <c r="CZ465" s="39"/>
      <c r="DA465" s="39"/>
      <c r="DB465" s="39"/>
      <c r="DC465" s="46"/>
      <c r="DD465" s="46" t="s">
        <v>543</v>
      </c>
      <c r="DE465" s="95" t="e">
        <f>+DE449/1000000-DE455</f>
        <v>#REF!</v>
      </c>
      <c r="DF465" s="95"/>
      <c r="DG465" s="46"/>
      <c r="DH465" s="46"/>
      <c r="DI465" s="39"/>
      <c r="DJ465" s="80"/>
      <c r="DK465" s="39"/>
      <c r="DL465" s="39"/>
      <c r="DM465" s="39"/>
      <c r="DN465" s="39"/>
      <c r="DO465" s="39"/>
      <c r="DP465" s="39"/>
      <c r="DQ465" s="39"/>
      <c r="DR465" s="39"/>
      <c r="DS465" s="46"/>
      <c r="DT465" s="46"/>
      <c r="DU465" s="46"/>
      <c r="DV465" s="46"/>
      <c r="DW465" s="46"/>
      <c r="DX465" s="46"/>
      <c r="DY465" s="46"/>
      <c r="DZ465" s="46"/>
      <c r="EA465" s="46"/>
      <c r="EB465" s="46"/>
      <c r="EC465" s="46"/>
      <c r="ED465" s="46"/>
      <c r="EE465" s="46"/>
      <c r="EF465" s="46"/>
      <c r="EG465" s="46"/>
      <c r="EH465" s="46"/>
      <c r="EI465" s="46"/>
      <c r="EJ465" s="46"/>
      <c r="EK465" s="46"/>
      <c r="EL465" s="46"/>
      <c r="EM465" s="46"/>
      <c r="EN465" s="46"/>
      <c r="EO465" s="46"/>
      <c r="EP465" s="46"/>
      <c r="EQ465" s="46"/>
      <c r="ER465" s="46"/>
      <c r="ES465" s="46"/>
      <c r="ET465" s="46"/>
      <c r="EU465" s="46"/>
      <c r="EV465" s="46"/>
      <c r="EW465" s="46"/>
      <c r="EX465" s="46"/>
      <c r="EY465" s="46"/>
      <c r="EZ465" s="46"/>
      <c r="FA465" s="46"/>
      <c r="FB465" s="46"/>
      <c r="FC465" s="46"/>
      <c r="FD465" s="46"/>
      <c r="FE465" s="46"/>
      <c r="FF465" s="46"/>
      <c r="FG465" s="46"/>
      <c r="FH465" s="46"/>
      <c r="FI465" s="46"/>
      <c r="FJ465" s="46"/>
      <c r="FK465" s="46"/>
      <c r="FL465" s="46"/>
      <c r="FM465" s="46"/>
      <c r="FN465" s="46"/>
      <c r="FO465" s="46"/>
      <c r="FP465" s="46"/>
      <c r="FQ465" s="46"/>
      <c r="FR465" s="46"/>
      <c r="FS465" s="46"/>
      <c r="FT465" s="46"/>
      <c r="FU465" s="46"/>
      <c r="FV465" s="46"/>
      <c r="FW465" s="46"/>
      <c r="FX465" s="46"/>
      <c r="FY465" s="46"/>
      <c r="FZ465" s="46"/>
      <c r="GA465" s="46"/>
      <c r="GB465" s="46"/>
      <c r="GC465" s="46"/>
      <c r="GD465" s="46"/>
      <c r="GE465" s="46"/>
      <c r="GF465" s="46"/>
      <c r="GG465" s="46"/>
      <c r="GH465" s="46"/>
      <c r="GI465" s="46"/>
      <c r="GJ465" s="46"/>
      <c r="GK465" s="46"/>
      <c r="GL465" s="46"/>
      <c r="GM465" s="46"/>
      <c r="GN465" s="46"/>
      <c r="GO465" s="46"/>
      <c r="GP465" s="46"/>
      <c r="GQ465" s="46"/>
      <c r="GR465" s="46"/>
      <c r="GS465" s="46"/>
      <c r="GT465" s="46"/>
      <c r="GU465" s="172"/>
      <c r="GV465" s="46"/>
      <c r="GW465" s="46"/>
      <c r="GX465" s="46"/>
      <c r="GY465" s="46"/>
      <c r="GZ465" s="46"/>
      <c r="HA465" s="46"/>
      <c r="HB465" s="46"/>
      <c r="HC465" s="46"/>
      <c r="HD465" s="46"/>
      <c r="HE465" s="46"/>
      <c r="HF465" s="209"/>
      <c r="HG465" s="172"/>
    </row>
    <row r="466" spans="1:215" ht="15.75" hidden="1">
      <c r="C466" s="199" t="s">
        <v>148</v>
      </c>
      <c r="D466" s="46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F466" s="39"/>
      <c r="AG466" s="39"/>
      <c r="AH466" s="39"/>
      <c r="AI466" s="39"/>
      <c r="AJ466" s="39"/>
      <c r="AK466" s="39"/>
      <c r="AL466" s="39"/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  <c r="AW466" s="39"/>
      <c r="AX466" s="39"/>
      <c r="AY466" s="39"/>
      <c r="AZ466" s="39"/>
      <c r="BA466" s="39"/>
      <c r="BB466" s="39"/>
      <c r="BC466" s="39"/>
      <c r="BD466" s="39"/>
      <c r="BE466" s="39"/>
      <c r="BF466" s="39"/>
      <c r="BG466" s="39"/>
      <c r="BH466" s="39"/>
      <c r="BI466" s="39"/>
      <c r="BJ466" s="39"/>
      <c r="BK466" s="46"/>
      <c r="BL466" s="46"/>
      <c r="BM466" s="46"/>
      <c r="BN466" s="46"/>
      <c r="BO466" s="46"/>
      <c r="BP466" s="46"/>
      <c r="BQ466" s="46"/>
      <c r="BR466" s="46"/>
      <c r="BS466" s="46"/>
      <c r="BT466" s="46"/>
      <c r="BU466" s="46"/>
      <c r="BV466" s="46"/>
      <c r="BW466" s="46"/>
      <c r="BX466" s="46"/>
      <c r="BY466" s="46"/>
      <c r="BZ466" s="46"/>
      <c r="CA466" s="46"/>
      <c r="CB466" s="46"/>
      <c r="CC466" s="46"/>
      <c r="CD466" s="46"/>
      <c r="CE466" s="46"/>
      <c r="CF466" s="46"/>
      <c r="CG466" s="46"/>
      <c r="CH466" s="46"/>
      <c r="CI466" s="46"/>
      <c r="CJ466" s="46"/>
      <c r="CK466" s="46"/>
      <c r="CL466" s="46"/>
      <c r="CM466" s="46"/>
      <c r="CN466" s="46"/>
      <c r="CO466" s="46"/>
      <c r="CP466" s="46"/>
      <c r="CQ466" s="46"/>
      <c r="CR466" s="46"/>
      <c r="CS466" s="46"/>
      <c r="CT466" s="46"/>
      <c r="CU466" s="46"/>
      <c r="CV466" s="46"/>
      <c r="CW466" s="46"/>
      <c r="CX466" s="46"/>
      <c r="CY466" s="39"/>
      <c r="CZ466" s="39"/>
      <c r="DA466" s="39"/>
      <c r="DB466" s="39"/>
      <c r="DC466" s="46"/>
      <c r="DD466" s="46"/>
      <c r="DE466" s="46"/>
      <c r="DF466" s="46"/>
      <c r="DG466" s="46"/>
      <c r="DH466" s="46"/>
      <c r="DI466" s="39"/>
      <c r="DJ466" s="80"/>
      <c r="DK466" s="39"/>
      <c r="DL466" s="39"/>
      <c r="DM466" s="39"/>
      <c r="DN466" s="39"/>
      <c r="DO466" s="39"/>
      <c r="DP466" s="39"/>
      <c r="DQ466" s="39"/>
      <c r="DR466" s="39"/>
      <c r="DS466" s="39"/>
      <c r="DT466" s="39"/>
      <c r="DU466" s="39"/>
      <c r="DV466" s="39"/>
      <c r="DW466" s="39"/>
      <c r="DX466" s="46"/>
      <c r="DY466" s="46"/>
      <c r="DZ466" s="46"/>
      <c r="EA466" s="46"/>
      <c r="EB466" s="46"/>
      <c r="EC466" s="39"/>
      <c r="ED466" s="39"/>
      <c r="EE466" s="39"/>
      <c r="EF466" s="39"/>
      <c r="EG466" s="39"/>
      <c r="EH466" s="39"/>
      <c r="EI466" s="39"/>
      <c r="EJ466" s="39"/>
      <c r="EK466" s="39"/>
      <c r="EL466" s="46"/>
      <c r="EM466" s="46"/>
      <c r="EN466" s="39"/>
      <c r="EO466" s="39"/>
      <c r="EP466" s="39"/>
      <c r="EQ466" s="39"/>
      <c r="ER466" s="39"/>
      <c r="ES466" s="39"/>
      <c r="ET466" s="39"/>
      <c r="EU466" s="39"/>
      <c r="EV466" s="39"/>
      <c r="EW466" s="39"/>
      <c r="EX466" s="39"/>
      <c r="EY466" s="39"/>
      <c r="EZ466" s="39"/>
      <c r="FA466" s="39"/>
      <c r="FB466" s="39"/>
      <c r="FC466" s="39"/>
      <c r="FD466" s="39"/>
      <c r="FE466" s="39"/>
      <c r="FF466" s="39"/>
      <c r="FG466" s="39"/>
      <c r="FH466" s="39"/>
      <c r="FI466" s="39"/>
      <c r="FJ466" s="46"/>
      <c r="FK466" s="46"/>
      <c r="FL466" s="46"/>
      <c r="FM466" s="46"/>
      <c r="FN466" s="46"/>
      <c r="FO466" s="39"/>
      <c r="FP466" s="46"/>
      <c r="FQ466" s="46"/>
      <c r="FR466" s="39"/>
      <c r="FS466" s="39"/>
      <c r="FT466" s="46"/>
      <c r="FU466" s="46"/>
      <c r="FV466" s="39"/>
      <c r="FW466" s="164" t="e">
        <f>+FW418+FW419+FW420+FW423+FW424+FW425</f>
        <v>#REF!</v>
      </c>
      <c r="FX466" s="39"/>
      <c r="FY466" s="39"/>
      <c r="FZ466" s="39"/>
      <c r="GA466" s="39"/>
      <c r="GB466" s="39"/>
      <c r="GC466" s="46"/>
      <c r="GD466" s="46"/>
      <c r="GE466" s="39"/>
      <c r="GF466" s="39"/>
      <c r="GG466" s="39"/>
      <c r="GH466" s="39"/>
      <c r="GI466" s="39"/>
      <c r="GJ466" s="39"/>
      <c r="GK466" s="39"/>
      <c r="GL466" s="39"/>
      <c r="GM466" s="46"/>
      <c r="GN466" s="46"/>
      <c r="GO466" s="39"/>
      <c r="GP466" s="46"/>
      <c r="GQ466" s="46"/>
      <c r="GR466" s="39"/>
      <c r="GS466" s="39"/>
      <c r="GT466" s="46"/>
      <c r="GU466" s="172"/>
      <c r="GV466" s="39"/>
      <c r="GW466" s="39"/>
      <c r="GX466" s="39"/>
      <c r="GY466" s="39"/>
      <c r="GZ466" s="39"/>
      <c r="HA466" s="39"/>
      <c r="HB466" s="46"/>
      <c r="HC466" s="46"/>
      <c r="HD466" s="39"/>
      <c r="HE466" s="39"/>
      <c r="HF466" s="209"/>
      <c r="HG466" s="172"/>
    </row>
    <row r="467" spans="1:215" s="3" customFormat="1" ht="15.75" hidden="1">
      <c r="A467" s="1"/>
      <c r="B467" s="2"/>
      <c r="C467" s="199" t="s">
        <v>148</v>
      </c>
      <c r="D467" s="46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F467" s="39"/>
      <c r="AG467" s="39"/>
      <c r="AH467" s="39"/>
      <c r="AI467" s="39"/>
      <c r="AJ467" s="39"/>
      <c r="AK467" s="39"/>
      <c r="AL467" s="39"/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  <c r="AW467" s="39"/>
      <c r="AX467" s="39"/>
      <c r="AY467" s="39"/>
      <c r="AZ467" s="39"/>
      <c r="BA467" s="39"/>
      <c r="BB467" s="39"/>
      <c r="BC467" s="39"/>
      <c r="BD467" s="39"/>
      <c r="BE467" s="39"/>
      <c r="BF467" s="39"/>
      <c r="BG467" s="39"/>
      <c r="BH467" s="39"/>
      <c r="BI467" s="39"/>
      <c r="BJ467" s="39"/>
      <c r="BK467" s="46"/>
      <c r="BL467" s="46"/>
      <c r="BM467" s="46"/>
      <c r="BN467" s="46"/>
      <c r="BO467" s="46"/>
      <c r="BP467" s="46"/>
      <c r="BQ467" s="46"/>
      <c r="BR467" s="46"/>
      <c r="BS467" s="46"/>
      <c r="BT467" s="46"/>
      <c r="BU467" s="46"/>
      <c r="BV467" s="46"/>
      <c r="BW467" s="46"/>
      <c r="BX467" s="46"/>
      <c r="BY467" s="46"/>
      <c r="BZ467" s="46"/>
      <c r="CA467" s="46"/>
      <c r="CB467" s="46"/>
      <c r="CC467" s="46"/>
      <c r="CD467" s="46"/>
      <c r="CE467" s="46"/>
      <c r="CF467" s="46"/>
      <c r="CG467" s="46"/>
      <c r="CH467" s="46"/>
      <c r="CI467" s="46"/>
      <c r="CJ467" s="46"/>
      <c r="CK467" s="46"/>
      <c r="CL467" s="46"/>
      <c r="CM467" s="46"/>
      <c r="CN467" s="46"/>
      <c r="CO467" s="46"/>
      <c r="CP467" s="46"/>
      <c r="CQ467" s="46"/>
      <c r="CR467" s="46"/>
      <c r="CS467" s="46"/>
      <c r="CT467" s="46"/>
      <c r="CU467" s="46"/>
      <c r="CV467" s="46"/>
      <c r="CW467" s="46"/>
      <c r="CX467" s="46"/>
      <c r="CY467" s="39"/>
      <c r="CZ467" s="39"/>
      <c r="DA467" s="39"/>
      <c r="DB467" s="39"/>
      <c r="DC467" s="46"/>
      <c r="DD467" s="46"/>
      <c r="DE467" s="19"/>
      <c r="DF467" s="19"/>
      <c r="DG467" s="46"/>
      <c r="DH467" s="46"/>
      <c r="DI467" s="39"/>
      <c r="DJ467" s="80"/>
      <c r="DK467" s="39"/>
      <c r="DL467" s="39"/>
      <c r="DM467" s="39"/>
      <c r="DN467" s="39"/>
      <c r="DO467" s="39"/>
      <c r="DP467" s="39"/>
      <c r="DQ467" s="39"/>
      <c r="DR467" s="39"/>
      <c r="DS467" s="46"/>
      <c r="DT467" s="46"/>
      <c r="DU467" s="19">
        <f>+DU412/AZ412*1.18</f>
        <v>1518.0361071422301</v>
      </c>
      <c r="DV467" s="19">
        <f>+DV412/AZ412*1.18</f>
        <v>1581.7896360747138</v>
      </c>
      <c r="DW467" s="46">
        <f>+DV467/DU467</f>
        <v>1.0419973732064269</v>
      </c>
      <c r="DX467" s="46"/>
      <c r="DY467" s="46"/>
      <c r="DZ467" s="46"/>
      <c r="EA467" s="46"/>
      <c r="EB467" s="46"/>
      <c r="EC467" s="46"/>
      <c r="ED467" s="46"/>
      <c r="EE467" s="46"/>
      <c r="EF467" s="46"/>
      <c r="EG467" s="46"/>
      <c r="EH467" s="46"/>
      <c r="EI467" s="46"/>
      <c r="EJ467" s="46"/>
      <c r="EK467" s="46"/>
      <c r="EL467" s="46"/>
      <c r="EM467" s="46"/>
      <c r="EN467" s="46"/>
      <c r="EO467" s="46"/>
      <c r="EP467" s="46"/>
      <c r="EQ467" s="46"/>
      <c r="ER467" s="46"/>
      <c r="ES467" s="46"/>
      <c r="ET467" s="46"/>
      <c r="EU467" s="46"/>
      <c r="EV467" s="46"/>
      <c r="EW467" s="46"/>
      <c r="EX467" s="46"/>
      <c r="EY467" s="46"/>
      <c r="EZ467" s="46"/>
      <c r="FA467" s="46"/>
      <c r="FB467" s="46"/>
      <c r="FC467" s="46"/>
      <c r="FD467" s="46"/>
      <c r="FE467" s="46"/>
      <c r="FF467" s="46"/>
      <c r="FG467" s="46"/>
      <c r="FH467" s="46"/>
      <c r="FI467" s="46"/>
      <c r="FJ467" s="46"/>
      <c r="FK467" s="46"/>
      <c r="FL467" s="46"/>
      <c r="FM467" s="46"/>
      <c r="FN467" s="46"/>
      <c r="FO467" s="46"/>
      <c r="FP467" s="46"/>
      <c r="FQ467" s="46"/>
      <c r="FR467" s="46"/>
      <c r="FS467" s="46"/>
      <c r="FT467" s="46"/>
      <c r="FU467" s="46"/>
      <c r="FV467" s="46"/>
      <c r="FW467" s="46"/>
      <c r="FX467" s="46"/>
      <c r="FY467" s="46"/>
      <c r="FZ467" s="46"/>
      <c r="GA467" s="46"/>
      <c r="GB467" s="46"/>
      <c r="GC467" s="46"/>
      <c r="GD467" s="46"/>
      <c r="GE467" s="46"/>
      <c r="GF467" s="46"/>
      <c r="GG467" s="46"/>
      <c r="GH467" s="46"/>
      <c r="GI467" s="46"/>
      <c r="GJ467" s="46"/>
      <c r="GK467" s="46"/>
      <c r="GL467" s="46"/>
      <c r="GM467" s="46"/>
      <c r="GN467" s="46"/>
      <c r="GO467" s="46"/>
      <c r="GP467" s="46"/>
      <c r="GQ467" s="46"/>
      <c r="GR467" s="46"/>
      <c r="GS467" s="46"/>
      <c r="GT467" s="46"/>
      <c r="GU467" s="172"/>
      <c r="GV467" s="46"/>
      <c r="GW467" s="46"/>
      <c r="GX467" s="46"/>
      <c r="GY467" s="46"/>
      <c r="GZ467" s="46"/>
      <c r="HA467" s="46"/>
      <c r="HB467" s="46"/>
      <c r="HC467" s="46"/>
      <c r="HD467" s="46"/>
      <c r="HE467" s="46"/>
      <c r="HF467" s="209"/>
      <c r="HG467" s="172"/>
    </row>
    <row r="468" spans="1:215" ht="15.75" hidden="1">
      <c r="C468" s="199" t="s">
        <v>148</v>
      </c>
      <c r="D468" s="46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F468" s="39"/>
      <c r="AG468" s="39"/>
      <c r="AH468" s="39"/>
      <c r="AI468" s="39"/>
      <c r="AJ468" s="39"/>
      <c r="AK468" s="39"/>
      <c r="AL468" s="39"/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  <c r="AW468" s="39"/>
      <c r="AX468" s="39"/>
      <c r="AY468" s="39"/>
      <c r="AZ468" s="39"/>
      <c r="BA468" s="39"/>
      <c r="BB468" s="39"/>
      <c r="BC468" s="39"/>
      <c r="BD468" s="39"/>
      <c r="BE468" s="39"/>
      <c r="BF468" s="39"/>
      <c r="BG468" s="39"/>
      <c r="BH468" s="39"/>
      <c r="BI468" s="39"/>
      <c r="BJ468" s="39"/>
      <c r="BK468" s="46"/>
      <c r="BL468" s="46"/>
      <c r="BM468" s="46"/>
      <c r="BN468" s="46"/>
      <c r="BO468" s="46"/>
      <c r="BP468" s="46"/>
      <c r="BQ468" s="46"/>
      <c r="BR468" s="46"/>
      <c r="BS468" s="46"/>
      <c r="BT468" s="46"/>
      <c r="BU468" s="46"/>
      <c r="BV468" s="46"/>
      <c r="BW468" s="46"/>
      <c r="BX468" s="46"/>
      <c r="BY468" s="46"/>
      <c r="BZ468" s="46"/>
      <c r="CA468" s="46"/>
      <c r="CB468" s="46"/>
      <c r="CC468" s="46"/>
      <c r="CD468" s="46"/>
      <c r="CE468" s="46"/>
      <c r="CF468" s="46"/>
      <c r="CG468" s="46"/>
      <c r="CH468" s="46"/>
      <c r="CI468" s="46"/>
      <c r="CJ468" s="46"/>
      <c r="CK468" s="46"/>
      <c r="CL468" s="46"/>
      <c r="CM468" s="46"/>
      <c r="CN468" s="46"/>
      <c r="CO468" s="46"/>
      <c r="CP468" s="46"/>
      <c r="CQ468" s="46"/>
      <c r="CR468" s="46"/>
      <c r="CS468" s="46"/>
      <c r="CT468" s="46"/>
      <c r="CU468" s="46"/>
      <c r="CV468" s="46"/>
      <c r="CW468" s="46"/>
      <c r="CX468" s="46"/>
      <c r="CY468" s="39"/>
      <c r="CZ468" s="39"/>
      <c r="DA468" s="39"/>
      <c r="DB468" s="39"/>
      <c r="DC468" s="46"/>
      <c r="DD468" s="46"/>
      <c r="DE468" s="46"/>
      <c r="DF468" s="46"/>
      <c r="DG468" s="46"/>
      <c r="DH468" s="46"/>
      <c r="DI468" s="39"/>
      <c r="DJ468" s="80"/>
      <c r="DK468" s="39"/>
      <c r="DL468" s="39"/>
      <c r="DM468" s="39"/>
      <c r="DN468" s="39"/>
      <c r="DO468" s="39"/>
      <c r="DP468" s="39"/>
      <c r="DQ468" s="39"/>
      <c r="DR468" s="39"/>
      <c r="DS468" s="39"/>
      <c r="DT468" s="39"/>
      <c r="DU468" s="39"/>
      <c r="DV468" s="39"/>
      <c r="DW468" s="39"/>
      <c r="DX468" s="46"/>
      <c r="DY468" s="46"/>
      <c r="DZ468" s="46"/>
      <c r="EA468" s="46"/>
      <c r="EB468" s="46"/>
      <c r="EC468" s="39"/>
      <c r="ED468" s="39"/>
      <c r="EE468" s="39"/>
      <c r="EF468" s="39"/>
      <c r="EG468" s="39"/>
      <c r="EH468" s="39"/>
      <c r="EI468" s="39"/>
      <c r="EJ468" s="39"/>
      <c r="EK468" s="39"/>
      <c r="EL468" s="46"/>
      <c r="EM468" s="46"/>
      <c r="EN468" s="39"/>
      <c r="EO468" s="39"/>
      <c r="EP468" s="39"/>
      <c r="EQ468" s="39"/>
      <c r="ER468" s="39"/>
      <c r="ES468" s="39"/>
      <c r="ET468" s="39"/>
      <c r="EU468" s="39"/>
      <c r="EV468" s="39"/>
      <c r="EW468" s="39"/>
      <c r="EX468" s="39"/>
      <c r="EY468" s="39"/>
      <c r="EZ468" s="39"/>
      <c r="FA468" s="39"/>
      <c r="FB468" s="39"/>
      <c r="FC468" s="39"/>
      <c r="FD468" s="39"/>
      <c r="FE468" s="39"/>
      <c r="FF468" s="39"/>
      <c r="FG468" s="39"/>
      <c r="FH468" s="39"/>
      <c r="FI468" s="39"/>
      <c r="FJ468" s="46"/>
      <c r="FK468" s="46"/>
      <c r="FL468" s="46"/>
      <c r="FM468" s="46"/>
      <c r="FN468" s="46"/>
      <c r="FO468" s="39"/>
      <c r="FP468" s="46"/>
      <c r="FQ468" s="46"/>
      <c r="FR468" s="39"/>
      <c r="FS468" s="39"/>
      <c r="FT468" s="46"/>
      <c r="FU468" s="46"/>
      <c r="FV468" s="39"/>
      <c r="FW468" s="39"/>
      <c r="FX468" s="39"/>
      <c r="FY468" s="39"/>
      <c r="FZ468" s="39"/>
      <c r="GA468" s="39"/>
      <c r="GB468" s="39"/>
      <c r="GC468" s="46"/>
      <c r="GD468" s="46"/>
      <c r="GE468" s="39"/>
      <c r="GF468" s="39"/>
      <c r="GG468" s="39"/>
      <c r="GH468" s="39"/>
      <c r="GI468" s="39"/>
      <c r="GJ468" s="39"/>
      <c r="GK468" s="39"/>
      <c r="GL468" s="39"/>
      <c r="GM468" s="46"/>
      <c r="GN468" s="46"/>
      <c r="GO468" s="39"/>
      <c r="GP468" s="46"/>
      <c r="GQ468" s="46"/>
      <c r="GR468" s="39"/>
      <c r="GS468" s="39"/>
      <c r="GT468" s="46"/>
      <c r="GU468" s="172"/>
      <c r="GV468" s="39"/>
      <c r="GW468" s="39"/>
      <c r="GX468" s="39"/>
      <c r="GY468" s="39"/>
      <c r="GZ468" s="39"/>
      <c r="HA468" s="39"/>
      <c r="HB468" s="46"/>
      <c r="HC468" s="46"/>
      <c r="HD468" s="39"/>
      <c r="HE468" s="39"/>
      <c r="HF468" s="209"/>
      <c r="HG468" s="172"/>
    </row>
    <row r="469" spans="1:215" ht="15.75" hidden="1">
      <c r="C469" s="199" t="s">
        <v>148</v>
      </c>
      <c r="D469" s="46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F469" s="39"/>
      <c r="AG469" s="39"/>
      <c r="AH469" s="39"/>
      <c r="AI469" s="39"/>
      <c r="AJ469" s="39"/>
      <c r="AK469" s="39"/>
      <c r="AL469" s="39"/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  <c r="AW469" s="39"/>
      <c r="AX469" s="39"/>
      <c r="AY469" s="39"/>
      <c r="AZ469" s="39"/>
      <c r="BA469" s="39"/>
      <c r="BB469" s="39"/>
      <c r="BC469" s="39"/>
      <c r="BD469" s="39"/>
      <c r="BE469" s="39"/>
      <c r="BF469" s="39"/>
      <c r="BG469" s="39"/>
      <c r="BH469" s="39"/>
      <c r="BI469" s="39"/>
      <c r="BJ469" s="39"/>
      <c r="BK469" s="46"/>
      <c r="BL469" s="46"/>
      <c r="BM469" s="46"/>
      <c r="BN469" s="46"/>
      <c r="BO469" s="46"/>
      <c r="BP469" s="46"/>
      <c r="BQ469" s="46"/>
      <c r="BR469" s="46"/>
      <c r="BS469" s="46"/>
      <c r="BT469" s="46"/>
      <c r="BU469" s="46"/>
      <c r="BV469" s="46"/>
      <c r="BW469" s="46"/>
      <c r="BX469" s="46"/>
      <c r="BY469" s="46"/>
      <c r="BZ469" s="46"/>
      <c r="CA469" s="46"/>
      <c r="CB469" s="46"/>
      <c r="CC469" s="46"/>
      <c r="CD469" s="46"/>
      <c r="CE469" s="46"/>
      <c r="CF469" s="46"/>
      <c r="CG469" s="46"/>
      <c r="CH469" s="46"/>
      <c r="CI469" s="46"/>
      <c r="CJ469" s="46"/>
      <c r="CK469" s="46"/>
      <c r="CL469" s="46"/>
      <c r="CM469" s="46"/>
      <c r="CN469" s="46"/>
      <c r="CO469" s="46"/>
      <c r="CP469" s="46"/>
      <c r="CQ469" s="46"/>
      <c r="CR469" s="46"/>
      <c r="CS469" s="46"/>
      <c r="CT469" s="46"/>
      <c r="CU469" s="46"/>
      <c r="CV469" s="46"/>
      <c r="CW469" s="46"/>
      <c r="CX469" s="46"/>
      <c r="CY469" s="39"/>
      <c r="CZ469" s="39"/>
      <c r="DA469" s="39"/>
      <c r="DB469" s="39"/>
      <c r="DC469" s="46"/>
      <c r="DD469" s="46"/>
      <c r="DE469" s="46"/>
      <c r="DF469" s="46"/>
      <c r="DG469" s="46"/>
      <c r="DH469" s="46"/>
      <c r="DI469" s="39"/>
      <c r="DJ469" s="80"/>
      <c r="DK469" s="39"/>
      <c r="DL469" s="39"/>
      <c r="DM469" s="39"/>
      <c r="DN469" s="39"/>
      <c r="DO469" s="39"/>
      <c r="DP469" s="39"/>
      <c r="DQ469" s="39"/>
      <c r="DR469" s="39"/>
      <c r="DS469" s="39"/>
      <c r="DT469" s="39"/>
      <c r="DU469" s="39"/>
      <c r="DV469" s="39"/>
      <c r="DW469" s="39"/>
      <c r="DX469" s="46"/>
      <c r="DY469" s="46"/>
      <c r="DZ469" s="46"/>
      <c r="EA469" s="46"/>
      <c r="EB469" s="46"/>
      <c r="EC469" s="39"/>
      <c r="ED469" s="39"/>
      <c r="EE469" s="39"/>
      <c r="EF469" s="39"/>
      <c r="EG469" s="39"/>
      <c r="EH469" s="39"/>
      <c r="EI469" s="39"/>
      <c r="EJ469" s="39"/>
      <c r="EK469" s="39"/>
      <c r="EL469" s="46"/>
      <c r="EM469" s="46"/>
      <c r="EN469" s="39"/>
      <c r="EO469" s="39"/>
      <c r="EP469" s="39"/>
      <c r="EQ469" s="39"/>
      <c r="ER469" s="39"/>
      <c r="ES469" s="39"/>
      <c r="ET469" s="39"/>
      <c r="EU469" s="39"/>
      <c r="EV469" s="39"/>
      <c r="EW469" s="39"/>
      <c r="EX469" s="39"/>
      <c r="EY469" s="39"/>
      <c r="EZ469" s="39"/>
      <c r="FA469" s="39"/>
      <c r="FB469" s="39"/>
      <c r="FC469" s="39"/>
      <c r="FD469" s="39"/>
      <c r="FE469" s="39"/>
      <c r="FF469" s="39"/>
      <c r="FG469" s="39"/>
      <c r="FH469" s="39"/>
      <c r="FI469" s="39"/>
      <c r="FJ469" s="46"/>
      <c r="FK469" s="46"/>
      <c r="FL469" s="46"/>
      <c r="FM469" s="46"/>
      <c r="FN469" s="46"/>
      <c r="FO469" s="39"/>
      <c r="FP469" s="46"/>
      <c r="FQ469" s="46"/>
      <c r="FR469" s="39"/>
      <c r="FS469" s="39"/>
      <c r="FT469" s="46"/>
      <c r="FU469" s="46"/>
      <c r="FV469" s="39"/>
      <c r="FW469" s="39"/>
      <c r="FX469" s="39"/>
      <c r="FY469" s="39"/>
      <c r="FZ469" s="39"/>
      <c r="GA469" s="39"/>
      <c r="GB469" s="39"/>
      <c r="GC469" s="46"/>
      <c r="GD469" s="46"/>
      <c r="GE469" s="39"/>
      <c r="GF469" s="39"/>
      <c r="GG469" s="39"/>
      <c r="GH469" s="39"/>
      <c r="GI469" s="39"/>
      <c r="GJ469" s="39"/>
      <c r="GK469" s="39"/>
      <c r="GL469" s="39"/>
      <c r="GM469" s="46"/>
      <c r="GN469" s="46"/>
      <c r="GO469" s="39"/>
      <c r="GP469" s="46"/>
      <c r="GQ469" s="46"/>
      <c r="GR469" s="39"/>
      <c r="GS469" s="39"/>
      <c r="GT469" s="46"/>
      <c r="GU469" s="172"/>
      <c r="GV469" s="39"/>
      <c r="GW469" s="39"/>
      <c r="GX469" s="39"/>
      <c r="GY469" s="39"/>
      <c r="GZ469" s="39"/>
      <c r="HA469" s="39"/>
      <c r="HB469" s="46"/>
      <c r="HC469" s="46"/>
      <c r="HD469" s="39"/>
      <c r="HE469" s="39"/>
      <c r="HF469" s="209"/>
      <c r="HG469" s="172"/>
    </row>
    <row r="470" spans="1:215" ht="15.75" hidden="1">
      <c r="C470" s="199" t="s">
        <v>148</v>
      </c>
      <c r="D470" s="46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F470" s="39"/>
      <c r="AG470" s="39"/>
      <c r="AH470" s="39"/>
      <c r="AI470" s="39"/>
      <c r="AJ470" s="39"/>
      <c r="AK470" s="39"/>
      <c r="AL470" s="39"/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  <c r="AW470" s="39"/>
      <c r="AX470" s="39"/>
      <c r="AY470" s="39"/>
      <c r="AZ470" s="39"/>
      <c r="BA470" s="39"/>
      <c r="BB470" s="39"/>
      <c r="BC470" s="39"/>
      <c r="BD470" s="39"/>
      <c r="BE470" s="39"/>
      <c r="BF470" s="39"/>
      <c r="BG470" s="39"/>
      <c r="BH470" s="39"/>
      <c r="BI470" s="39"/>
      <c r="BJ470" s="39"/>
      <c r="BK470" s="46"/>
      <c r="BL470" s="46"/>
      <c r="BM470" s="46"/>
      <c r="BN470" s="46"/>
      <c r="BO470" s="46"/>
      <c r="BP470" s="46"/>
      <c r="BQ470" s="46"/>
      <c r="BR470" s="46"/>
      <c r="BS470" s="46"/>
      <c r="BT470" s="46"/>
      <c r="BU470" s="46"/>
      <c r="BV470" s="46"/>
      <c r="BW470" s="46"/>
      <c r="BX470" s="46"/>
      <c r="BY470" s="46"/>
      <c r="BZ470" s="46"/>
      <c r="CA470" s="46"/>
      <c r="CB470" s="46"/>
      <c r="CC470" s="46"/>
      <c r="CD470" s="46"/>
      <c r="CE470" s="46"/>
      <c r="CF470" s="46"/>
      <c r="CG470" s="46"/>
      <c r="CH470" s="46"/>
      <c r="CI470" s="46"/>
      <c r="CJ470" s="46"/>
      <c r="CK470" s="46"/>
      <c r="CL470" s="46"/>
      <c r="CM470" s="46"/>
      <c r="CN470" s="46"/>
      <c r="CO470" s="46"/>
      <c r="CP470" s="46"/>
      <c r="CQ470" s="46"/>
      <c r="CR470" s="46"/>
      <c r="CS470" s="46"/>
      <c r="CT470" s="46"/>
      <c r="CU470" s="46"/>
      <c r="CV470" s="46"/>
      <c r="CW470" s="46"/>
      <c r="CX470" s="46"/>
      <c r="CY470" s="39"/>
      <c r="CZ470" s="39"/>
      <c r="DA470" s="39"/>
      <c r="DB470" s="39"/>
      <c r="DC470" s="46"/>
      <c r="DD470" s="46"/>
      <c r="DE470" s="46"/>
      <c r="DF470" s="46"/>
      <c r="DG470" s="46"/>
      <c r="DH470" s="46"/>
      <c r="DI470" s="39"/>
      <c r="DJ470" s="80"/>
      <c r="DK470" s="39"/>
      <c r="DL470" s="39"/>
      <c r="DM470" s="39"/>
      <c r="DN470" s="39"/>
      <c r="DO470" s="39"/>
      <c r="DP470" s="39"/>
      <c r="DQ470" s="39"/>
      <c r="DR470" s="39"/>
      <c r="DS470" s="39"/>
      <c r="DT470" s="39"/>
      <c r="DU470" s="39"/>
      <c r="DV470" s="39"/>
      <c r="DW470" s="39"/>
      <c r="DX470" s="46"/>
      <c r="DY470" s="46"/>
      <c r="DZ470" s="46"/>
      <c r="EA470" s="46"/>
      <c r="EB470" s="46"/>
      <c r="EC470" s="39"/>
      <c r="ED470" s="39"/>
      <c r="EE470" s="39"/>
      <c r="EF470" s="39"/>
      <c r="EG470" s="39"/>
      <c r="EH470" s="39"/>
      <c r="EI470" s="39"/>
      <c r="EJ470" s="39"/>
      <c r="EK470" s="39"/>
      <c r="EL470" s="46"/>
      <c r="EM470" s="46"/>
      <c r="EN470" s="39"/>
      <c r="EO470" s="39"/>
      <c r="EP470" s="39"/>
      <c r="EQ470" s="39"/>
      <c r="ER470" s="39"/>
      <c r="ES470" s="39"/>
      <c r="ET470" s="39"/>
      <c r="EU470" s="39"/>
      <c r="EV470" s="39"/>
      <c r="EW470" s="39"/>
      <c r="EX470" s="39"/>
      <c r="EY470" s="39"/>
      <c r="EZ470" s="39"/>
      <c r="FA470" s="39"/>
      <c r="FB470" s="39"/>
      <c r="FC470" s="39"/>
      <c r="FD470" s="39"/>
      <c r="FE470" s="39"/>
      <c r="FF470" s="39"/>
      <c r="FG470" s="39"/>
      <c r="FH470" s="39"/>
      <c r="FI470" s="39"/>
      <c r="FJ470" s="46"/>
      <c r="FK470" s="46"/>
      <c r="FL470" s="46"/>
      <c r="FM470" s="46"/>
      <c r="FN470" s="46"/>
      <c r="FO470" s="39"/>
      <c r="FP470" s="46"/>
      <c r="FQ470" s="46"/>
      <c r="FR470" s="39"/>
      <c r="FS470" s="39"/>
      <c r="FT470" s="46"/>
      <c r="FU470" s="46"/>
      <c r="FV470" s="39"/>
      <c r="FW470" s="39"/>
      <c r="FX470" s="39"/>
      <c r="FY470" s="39"/>
      <c r="FZ470" s="39"/>
      <c r="GA470" s="39"/>
      <c r="GB470" s="39"/>
      <c r="GC470" s="46"/>
      <c r="GD470" s="46"/>
      <c r="GE470" s="39"/>
      <c r="GF470" s="39"/>
      <c r="GG470" s="39"/>
      <c r="GH470" s="39"/>
      <c r="GI470" s="39"/>
      <c r="GJ470" s="39"/>
      <c r="GK470" s="39"/>
      <c r="GL470" s="39"/>
      <c r="GM470" s="46"/>
      <c r="GN470" s="46"/>
      <c r="GO470" s="39"/>
      <c r="GP470" s="46"/>
      <c r="GQ470" s="46"/>
      <c r="GR470" s="39"/>
      <c r="GS470" s="39"/>
      <c r="GT470" s="46"/>
      <c r="GU470" s="172"/>
      <c r="GV470" s="39"/>
      <c r="GW470" s="39"/>
      <c r="GX470" s="39"/>
      <c r="GY470" s="39"/>
      <c r="GZ470" s="39"/>
      <c r="HA470" s="39"/>
      <c r="HB470" s="46"/>
      <c r="HC470" s="46"/>
      <c r="HD470" s="39"/>
      <c r="HE470" s="39"/>
      <c r="HF470" s="209"/>
      <c r="HG470" s="172"/>
    </row>
    <row r="471" spans="1:215" ht="15.75" hidden="1">
      <c r="C471" s="199" t="s">
        <v>148</v>
      </c>
      <c r="D471" s="46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  <c r="AX471" s="39"/>
      <c r="AY471" s="39"/>
      <c r="AZ471" s="39"/>
      <c r="BA471" s="39"/>
      <c r="BB471" s="39"/>
      <c r="BC471" s="39"/>
      <c r="BD471" s="39"/>
      <c r="BE471" s="39"/>
      <c r="BF471" s="39"/>
      <c r="BG471" s="39"/>
      <c r="BH471" s="39"/>
      <c r="BI471" s="39"/>
      <c r="BJ471" s="39"/>
      <c r="BK471" s="46"/>
      <c r="BL471" s="46"/>
      <c r="BM471" s="46"/>
      <c r="BN471" s="46"/>
      <c r="BO471" s="46"/>
      <c r="BP471" s="46"/>
      <c r="BQ471" s="46"/>
      <c r="BR471" s="46"/>
      <c r="BS471" s="46"/>
      <c r="BT471" s="46"/>
      <c r="BU471" s="46"/>
      <c r="BV471" s="46"/>
      <c r="BW471" s="46"/>
      <c r="BX471" s="46"/>
      <c r="BY471" s="46"/>
      <c r="BZ471" s="46"/>
      <c r="CA471" s="46"/>
      <c r="CB471" s="46"/>
      <c r="CC471" s="46"/>
      <c r="CD471" s="46"/>
      <c r="CE471" s="46"/>
      <c r="CF471" s="46"/>
      <c r="CG471" s="46"/>
      <c r="CH471" s="46"/>
      <c r="CI471" s="46"/>
      <c r="CJ471" s="46"/>
      <c r="CK471" s="46"/>
      <c r="CL471" s="46"/>
      <c r="CM471" s="46"/>
      <c r="CN471" s="46"/>
      <c r="CO471" s="46"/>
      <c r="CP471" s="46"/>
      <c r="CQ471" s="46"/>
      <c r="CR471" s="46"/>
      <c r="CS471" s="46"/>
      <c r="CT471" s="46"/>
      <c r="CU471" s="46"/>
      <c r="CV471" s="46"/>
      <c r="CW471" s="46"/>
      <c r="CX471" s="46"/>
      <c r="CY471" s="39"/>
      <c r="CZ471" s="39"/>
      <c r="DA471" s="39"/>
      <c r="DB471" s="39"/>
      <c r="DC471" s="46"/>
      <c r="DD471" s="46"/>
      <c r="DE471" s="46"/>
      <c r="DF471" s="46"/>
      <c r="DG471" s="46"/>
      <c r="DH471" s="46"/>
      <c r="DI471" s="39"/>
      <c r="DJ471" s="80"/>
      <c r="DK471" s="39"/>
      <c r="DL471" s="39"/>
      <c r="DM471" s="39"/>
      <c r="DN471" s="39"/>
      <c r="DO471" s="39"/>
      <c r="DP471" s="39"/>
      <c r="DQ471" s="39"/>
      <c r="DR471" s="39"/>
      <c r="DS471" s="39"/>
      <c r="DT471" s="39"/>
      <c r="DU471" s="39"/>
      <c r="DV471" s="39"/>
      <c r="DW471" s="39"/>
      <c r="DX471" s="46"/>
      <c r="DY471" s="46"/>
      <c r="DZ471" s="46"/>
      <c r="EA471" s="46"/>
      <c r="EB471" s="46"/>
      <c r="EC471" s="39"/>
      <c r="ED471" s="39"/>
      <c r="EE471" s="39"/>
      <c r="EF471" s="39"/>
      <c r="EG471" s="39"/>
      <c r="EH471" s="39"/>
      <c r="EI471" s="39"/>
      <c r="EJ471" s="39"/>
      <c r="EK471" s="39"/>
      <c r="EL471" s="46"/>
      <c r="EM471" s="46"/>
      <c r="EN471" s="39"/>
      <c r="EO471" s="39"/>
      <c r="EP471" s="39"/>
      <c r="EQ471" s="39"/>
      <c r="ER471" s="39"/>
      <c r="ES471" s="39"/>
      <c r="ET471" s="39"/>
      <c r="EU471" s="39"/>
      <c r="EV471" s="39"/>
      <c r="EW471" s="39"/>
      <c r="EX471" s="39"/>
      <c r="EY471" s="39"/>
      <c r="EZ471" s="39"/>
      <c r="FA471" s="39"/>
      <c r="FB471" s="39"/>
      <c r="FC471" s="39"/>
      <c r="FD471" s="39"/>
      <c r="FE471" s="39"/>
      <c r="FF471" s="39"/>
      <c r="FG471" s="39"/>
      <c r="FH471" s="39"/>
      <c r="FI471" s="39"/>
      <c r="FJ471" s="46"/>
      <c r="FK471" s="46"/>
      <c r="FL471" s="46"/>
      <c r="FM471" s="46"/>
      <c r="FN471" s="46"/>
      <c r="FO471" s="39"/>
      <c r="FP471" s="46"/>
      <c r="FQ471" s="46"/>
      <c r="FR471" s="39"/>
      <c r="FS471" s="39"/>
      <c r="FT471" s="46"/>
      <c r="FU471" s="46"/>
      <c r="FV471" s="39"/>
      <c r="FW471" s="39"/>
      <c r="FX471" s="39"/>
      <c r="FY471" s="39"/>
      <c r="FZ471" s="39"/>
      <c r="GA471" s="39"/>
      <c r="GB471" s="39"/>
      <c r="GC471" s="46"/>
      <c r="GD471" s="46"/>
      <c r="GE471" s="39"/>
      <c r="GF471" s="39"/>
      <c r="GG471" s="39"/>
      <c r="GH471" s="39"/>
      <c r="GI471" s="39"/>
      <c r="GJ471" s="39"/>
      <c r="GK471" s="39"/>
      <c r="GL471" s="39"/>
      <c r="GM471" s="46"/>
      <c r="GN471" s="46"/>
      <c r="GO471" s="39"/>
      <c r="GP471" s="46"/>
      <c r="GQ471" s="46"/>
      <c r="GR471" s="39"/>
      <c r="GS471" s="39"/>
      <c r="GT471" s="46"/>
      <c r="GU471" s="172"/>
      <c r="GV471" s="39"/>
      <c r="GW471" s="39"/>
      <c r="GX471" s="39"/>
      <c r="GY471" s="39"/>
      <c r="GZ471" s="39"/>
      <c r="HA471" s="39"/>
      <c r="HB471" s="46"/>
      <c r="HC471" s="46"/>
      <c r="HD471" s="39"/>
      <c r="HE471" s="39"/>
      <c r="HF471" s="209"/>
      <c r="HG471" s="172"/>
    </row>
    <row r="472" spans="1:215" ht="15.75" hidden="1">
      <c r="C472" s="199" t="s">
        <v>148</v>
      </c>
      <c r="D472" s="46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  <c r="AX472" s="39"/>
      <c r="AY472" s="39"/>
      <c r="AZ472" s="39"/>
      <c r="BA472" s="39"/>
      <c r="BB472" s="39"/>
      <c r="BC472" s="39"/>
      <c r="BD472" s="39"/>
      <c r="BE472" s="39"/>
      <c r="BF472" s="39"/>
      <c r="BG472" s="39"/>
      <c r="BH472" s="39"/>
      <c r="BI472" s="39"/>
      <c r="BJ472" s="39"/>
      <c r="BK472" s="46"/>
      <c r="BL472" s="46"/>
      <c r="BM472" s="46"/>
      <c r="BN472" s="46"/>
      <c r="BO472" s="46"/>
      <c r="BP472" s="46"/>
      <c r="BQ472" s="46"/>
      <c r="BR472" s="46"/>
      <c r="BS472" s="46"/>
      <c r="BT472" s="46"/>
      <c r="BU472" s="46"/>
      <c r="BV472" s="46"/>
      <c r="BW472" s="46"/>
      <c r="BX472" s="46"/>
      <c r="BY472" s="46"/>
      <c r="BZ472" s="46"/>
      <c r="CA472" s="46"/>
      <c r="CB472" s="46"/>
      <c r="CC472" s="46"/>
      <c r="CD472" s="46"/>
      <c r="CE472" s="46"/>
      <c r="CF472" s="46"/>
      <c r="CG472" s="46"/>
      <c r="CH472" s="46"/>
      <c r="CI472" s="46"/>
      <c r="CJ472" s="46"/>
      <c r="CK472" s="46"/>
      <c r="CL472" s="46"/>
      <c r="CM472" s="46"/>
      <c r="CN472" s="46"/>
      <c r="CO472" s="46"/>
      <c r="CP472" s="46"/>
      <c r="CQ472" s="46"/>
      <c r="CR472" s="46"/>
      <c r="CS472" s="46"/>
      <c r="CT472" s="46"/>
      <c r="CU472" s="46"/>
      <c r="CV472" s="46"/>
      <c r="CW472" s="46"/>
      <c r="CX472" s="46"/>
      <c r="CY472" s="39"/>
      <c r="CZ472" s="39"/>
      <c r="DA472" s="39"/>
      <c r="DB472" s="39"/>
      <c r="DC472" s="46"/>
      <c r="DD472" s="46"/>
      <c r="DE472" s="46"/>
      <c r="DF472" s="46"/>
      <c r="DG472" s="46"/>
      <c r="DH472" s="46"/>
      <c r="DI472" s="39"/>
      <c r="DJ472" s="80"/>
      <c r="DK472" s="39"/>
      <c r="DL472" s="39"/>
      <c r="DM472" s="39"/>
      <c r="DN472" s="39"/>
      <c r="DO472" s="39"/>
      <c r="DP472" s="39"/>
      <c r="DQ472" s="39"/>
      <c r="DR472" s="39"/>
      <c r="DS472" s="39"/>
      <c r="DT472" s="39"/>
      <c r="DU472" s="39"/>
      <c r="DV472" s="39"/>
      <c r="DW472" s="39"/>
      <c r="DX472" s="46"/>
      <c r="DY472" s="46"/>
      <c r="DZ472" s="46"/>
      <c r="EA472" s="46"/>
      <c r="EB472" s="46"/>
      <c r="EC472" s="39"/>
      <c r="ED472" s="39"/>
      <c r="EE472" s="39"/>
      <c r="EF472" s="39"/>
      <c r="EG472" s="39"/>
      <c r="EH472" s="39"/>
      <c r="EI472" s="39"/>
      <c r="EJ472" s="39"/>
      <c r="EK472" s="39"/>
      <c r="EL472" s="46"/>
      <c r="EM472" s="46"/>
      <c r="EN472" s="39"/>
      <c r="EO472" s="39"/>
      <c r="EP472" s="39"/>
      <c r="EQ472" s="39"/>
      <c r="ER472" s="39"/>
      <c r="ES472" s="39"/>
      <c r="ET472" s="39"/>
      <c r="EU472" s="39"/>
      <c r="EV472" s="39"/>
      <c r="EW472" s="39"/>
      <c r="EX472" s="39"/>
      <c r="EY472" s="39"/>
      <c r="EZ472" s="39"/>
      <c r="FA472" s="39"/>
      <c r="FB472" s="39"/>
      <c r="FC472" s="39"/>
      <c r="FD472" s="39"/>
      <c r="FE472" s="39"/>
      <c r="FF472" s="39"/>
      <c r="FG472" s="39"/>
      <c r="FH472" s="39"/>
      <c r="FI472" s="39"/>
      <c r="FJ472" s="46"/>
      <c r="FK472" s="46"/>
      <c r="FL472" s="46"/>
      <c r="FM472" s="46"/>
      <c r="FN472" s="46"/>
      <c r="FO472" s="39"/>
      <c r="FP472" s="46"/>
      <c r="FQ472" s="46"/>
      <c r="FR472" s="39"/>
      <c r="FS472" s="39"/>
      <c r="FT472" s="46"/>
      <c r="FU472" s="46"/>
      <c r="FV472" s="39"/>
      <c r="FW472" s="39"/>
      <c r="FX472" s="39"/>
      <c r="FY472" s="39"/>
      <c r="FZ472" s="39"/>
      <c r="GA472" s="39"/>
      <c r="GB472" s="39"/>
      <c r="GC472" s="46"/>
      <c r="GD472" s="46"/>
      <c r="GE472" s="39"/>
      <c r="GF472" s="39"/>
      <c r="GG472" s="39"/>
      <c r="GH472" s="39"/>
      <c r="GI472" s="39"/>
      <c r="GJ472" s="39"/>
      <c r="GK472" s="39"/>
      <c r="GL472" s="39"/>
      <c r="GM472" s="46"/>
      <c r="GN472" s="46"/>
      <c r="GO472" s="39"/>
      <c r="GP472" s="46"/>
      <c r="GQ472" s="46"/>
      <c r="GR472" s="39"/>
      <c r="GS472" s="39"/>
      <c r="GT472" s="46"/>
      <c r="GU472" s="172"/>
      <c r="GV472" s="39"/>
      <c r="GW472" s="39"/>
      <c r="GX472" s="39"/>
      <c r="GY472" s="39"/>
      <c r="GZ472" s="39"/>
      <c r="HA472" s="39"/>
      <c r="HB472" s="46"/>
      <c r="HC472" s="46"/>
      <c r="HD472" s="39"/>
      <c r="HE472" s="39"/>
      <c r="HF472" s="209"/>
      <c r="HG472" s="172"/>
    </row>
    <row r="473" spans="1:215" ht="15.75" hidden="1">
      <c r="C473" s="199" t="s">
        <v>148</v>
      </c>
      <c r="D473" s="46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  <c r="AX473" s="39"/>
      <c r="AY473" s="39"/>
      <c r="AZ473" s="39"/>
      <c r="BA473" s="39"/>
      <c r="BB473" s="39"/>
      <c r="BC473" s="39"/>
      <c r="BD473" s="39"/>
      <c r="BE473" s="39"/>
      <c r="BF473" s="39"/>
      <c r="BG473" s="39"/>
      <c r="BH473" s="39"/>
      <c r="BI473" s="39"/>
      <c r="BJ473" s="39"/>
      <c r="BK473" s="46"/>
      <c r="BL473" s="46"/>
      <c r="BM473" s="46"/>
      <c r="BN473" s="46"/>
      <c r="BO473" s="46"/>
      <c r="BP473" s="46"/>
      <c r="BQ473" s="46"/>
      <c r="BR473" s="46"/>
      <c r="BS473" s="46"/>
      <c r="BT473" s="46"/>
      <c r="BU473" s="46"/>
      <c r="BV473" s="46"/>
      <c r="BW473" s="46"/>
      <c r="BX473" s="46"/>
      <c r="BY473" s="46"/>
      <c r="BZ473" s="46"/>
      <c r="CA473" s="46"/>
      <c r="CB473" s="46"/>
      <c r="CC473" s="46"/>
      <c r="CD473" s="46"/>
      <c r="CE473" s="46"/>
      <c r="CF473" s="46"/>
      <c r="CG473" s="46"/>
      <c r="CH473" s="46"/>
      <c r="CI473" s="46"/>
      <c r="CJ473" s="46"/>
      <c r="CK473" s="46"/>
      <c r="CL473" s="46"/>
      <c r="CM473" s="46"/>
      <c r="CN473" s="46"/>
      <c r="CO473" s="46"/>
      <c r="CP473" s="46"/>
      <c r="CQ473" s="46"/>
      <c r="CR473" s="46"/>
      <c r="CS473" s="46"/>
      <c r="CT473" s="46"/>
      <c r="CU473" s="46"/>
      <c r="CV473" s="46"/>
      <c r="CW473" s="46"/>
      <c r="CX473" s="46"/>
      <c r="CY473" s="39"/>
      <c r="CZ473" s="39"/>
      <c r="DA473" s="39"/>
      <c r="DB473" s="39"/>
      <c r="DC473" s="46"/>
      <c r="DD473" s="46"/>
      <c r="DE473" s="46"/>
      <c r="DF473" s="46"/>
      <c r="DG473" s="46"/>
      <c r="DH473" s="46"/>
      <c r="DI473" s="39"/>
      <c r="DJ473" s="80"/>
      <c r="DK473" s="39"/>
      <c r="DL473" s="39"/>
      <c r="DM473" s="39"/>
      <c r="DN473" s="39"/>
      <c r="DO473" s="39"/>
      <c r="DP473" s="39"/>
      <c r="DQ473" s="39"/>
      <c r="DR473" s="39"/>
      <c r="DS473" s="39"/>
      <c r="DT473" s="39"/>
      <c r="DU473" s="39"/>
      <c r="DV473" s="39"/>
      <c r="DW473" s="39"/>
      <c r="DX473" s="46"/>
      <c r="DY473" s="46"/>
      <c r="DZ473" s="46"/>
      <c r="EA473" s="46"/>
      <c r="EB473" s="46"/>
      <c r="EC473" s="39"/>
      <c r="ED473" s="39"/>
      <c r="EE473" s="39"/>
      <c r="EF473" s="39"/>
      <c r="EG473" s="39"/>
      <c r="EH473" s="39"/>
      <c r="EI473" s="39"/>
      <c r="EJ473" s="39"/>
      <c r="EK473" s="39"/>
      <c r="EL473" s="46"/>
      <c r="EM473" s="46"/>
      <c r="EN473" s="39"/>
      <c r="EO473" s="39"/>
      <c r="EP473" s="39"/>
      <c r="EQ473" s="39"/>
      <c r="ER473" s="39"/>
      <c r="ES473" s="39"/>
      <c r="ET473" s="39"/>
      <c r="EU473" s="39"/>
      <c r="EV473" s="39"/>
      <c r="EW473" s="39"/>
      <c r="EX473" s="39"/>
      <c r="EY473" s="39"/>
      <c r="EZ473" s="39"/>
      <c r="FA473" s="39"/>
      <c r="FB473" s="39"/>
      <c r="FC473" s="39"/>
      <c r="FD473" s="39"/>
      <c r="FE473" s="39"/>
      <c r="FF473" s="39"/>
      <c r="FG473" s="39"/>
      <c r="FH473" s="39"/>
      <c r="FI473" s="39"/>
      <c r="FJ473" s="46"/>
      <c r="FK473" s="46"/>
      <c r="FL473" s="46"/>
      <c r="FM473" s="46"/>
      <c r="FN473" s="46"/>
      <c r="FO473" s="39"/>
      <c r="FP473" s="46"/>
      <c r="FQ473" s="46"/>
      <c r="FR473" s="39"/>
      <c r="FS473" s="39"/>
      <c r="FT473" s="46"/>
      <c r="FU473" s="46"/>
      <c r="FV473" s="39"/>
      <c r="FW473" s="39"/>
      <c r="FX473" s="39"/>
      <c r="FY473" s="39"/>
      <c r="FZ473" s="39"/>
      <c r="GA473" s="39"/>
      <c r="GB473" s="39"/>
      <c r="GC473" s="46"/>
      <c r="GD473" s="46"/>
      <c r="GE473" s="39"/>
      <c r="GF473" s="39"/>
      <c r="GG473" s="39"/>
      <c r="GH473" s="39"/>
      <c r="GI473" s="39"/>
      <c r="GJ473" s="39"/>
      <c r="GK473" s="39"/>
      <c r="GL473" s="39"/>
      <c r="GM473" s="46"/>
      <c r="GN473" s="46"/>
      <c r="GO473" s="39"/>
      <c r="GP473" s="46"/>
      <c r="GQ473" s="46"/>
      <c r="GR473" s="39"/>
      <c r="GS473" s="39"/>
      <c r="GT473" s="46"/>
      <c r="GU473" s="172"/>
      <c r="GV473" s="39"/>
      <c r="GW473" s="39"/>
      <c r="GX473" s="39"/>
      <c r="GY473" s="39"/>
      <c r="GZ473" s="39"/>
      <c r="HA473" s="39"/>
      <c r="HB473" s="46"/>
      <c r="HC473" s="46"/>
      <c r="HD473" s="39"/>
      <c r="HE473" s="39"/>
      <c r="HF473" s="209"/>
      <c r="HG473" s="172"/>
    </row>
    <row r="474" spans="1:215" ht="15.75" hidden="1">
      <c r="C474" s="199" t="s">
        <v>148</v>
      </c>
      <c r="D474" s="46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  <c r="AX474" s="39"/>
      <c r="AY474" s="39"/>
      <c r="AZ474" s="39"/>
      <c r="BA474" s="39"/>
      <c r="BB474" s="39"/>
      <c r="BC474" s="39"/>
      <c r="BD474" s="39"/>
      <c r="BE474" s="39"/>
      <c r="BF474" s="39"/>
      <c r="BG474" s="39"/>
      <c r="BH474" s="39"/>
      <c r="BI474" s="39"/>
      <c r="BJ474" s="39"/>
      <c r="BK474" s="46"/>
      <c r="BL474" s="46"/>
      <c r="BM474" s="46"/>
      <c r="BN474" s="46"/>
      <c r="BO474" s="46"/>
      <c r="BP474" s="46"/>
      <c r="BQ474" s="46"/>
      <c r="BR474" s="46"/>
      <c r="BS474" s="46"/>
      <c r="BT474" s="46"/>
      <c r="BU474" s="46"/>
      <c r="BV474" s="46"/>
      <c r="BW474" s="46"/>
      <c r="BX474" s="46"/>
      <c r="BY474" s="46"/>
      <c r="BZ474" s="46"/>
      <c r="CA474" s="46"/>
      <c r="CB474" s="46"/>
      <c r="CC474" s="46"/>
      <c r="CD474" s="46"/>
      <c r="CE474" s="46"/>
      <c r="CF474" s="46"/>
      <c r="CG474" s="46"/>
      <c r="CH474" s="46"/>
      <c r="CI474" s="46"/>
      <c r="CJ474" s="46"/>
      <c r="CK474" s="46"/>
      <c r="CL474" s="46"/>
      <c r="CM474" s="46"/>
      <c r="CN474" s="46"/>
      <c r="CO474" s="46"/>
      <c r="CP474" s="46"/>
      <c r="CQ474" s="46"/>
      <c r="CR474" s="46"/>
      <c r="CS474" s="46"/>
      <c r="CT474" s="46"/>
      <c r="CU474" s="46"/>
      <c r="CV474" s="46"/>
      <c r="CW474" s="46"/>
      <c r="CX474" s="46"/>
      <c r="CY474" s="39"/>
      <c r="CZ474" s="39"/>
      <c r="DA474" s="39"/>
      <c r="DB474" s="39"/>
      <c r="DC474" s="46"/>
      <c r="DD474" s="46"/>
      <c r="DE474" s="46"/>
      <c r="DF474" s="46"/>
      <c r="DG474" s="46"/>
      <c r="DH474" s="46"/>
      <c r="DI474" s="39"/>
      <c r="DJ474" s="80"/>
      <c r="DK474" s="39"/>
      <c r="DL474" s="39"/>
      <c r="DM474" s="39"/>
      <c r="DN474" s="39"/>
      <c r="DO474" s="39"/>
      <c r="DP474" s="39"/>
      <c r="DQ474" s="39"/>
      <c r="DR474" s="39"/>
      <c r="DS474" s="39"/>
      <c r="DT474" s="39"/>
      <c r="DU474" s="39"/>
      <c r="DV474" s="39"/>
      <c r="DW474" s="39"/>
      <c r="DX474" s="46"/>
      <c r="DY474" s="46"/>
      <c r="DZ474" s="46"/>
      <c r="EA474" s="46"/>
      <c r="EB474" s="46"/>
      <c r="EC474" s="39"/>
      <c r="ED474" s="39"/>
      <c r="EE474" s="39"/>
      <c r="EF474" s="39"/>
      <c r="EG474" s="39"/>
      <c r="EH474" s="39"/>
      <c r="EI474" s="39"/>
      <c r="EJ474" s="39"/>
      <c r="EK474" s="39"/>
      <c r="EL474" s="46"/>
      <c r="EM474" s="46"/>
      <c r="EN474" s="39"/>
      <c r="EO474" s="39"/>
      <c r="EP474" s="39"/>
      <c r="EQ474" s="39"/>
      <c r="ER474" s="39"/>
      <c r="ES474" s="39"/>
      <c r="ET474" s="39"/>
      <c r="EU474" s="39"/>
      <c r="EV474" s="39"/>
      <c r="EW474" s="39"/>
      <c r="EX474" s="39"/>
      <c r="EY474" s="39"/>
      <c r="EZ474" s="39"/>
      <c r="FA474" s="39"/>
      <c r="FB474" s="39"/>
      <c r="FC474" s="39"/>
      <c r="FD474" s="39"/>
      <c r="FE474" s="39"/>
      <c r="FF474" s="39"/>
      <c r="FG474" s="39"/>
      <c r="FH474" s="39"/>
      <c r="FI474" s="39"/>
      <c r="FJ474" s="46"/>
      <c r="FK474" s="46"/>
      <c r="FL474" s="46"/>
      <c r="FM474" s="46"/>
      <c r="FN474" s="46"/>
      <c r="FO474" s="39"/>
      <c r="FP474" s="46"/>
      <c r="FQ474" s="46"/>
      <c r="FR474" s="39"/>
      <c r="FS474" s="39"/>
      <c r="FT474" s="46"/>
      <c r="FU474" s="46"/>
      <c r="FV474" s="39"/>
      <c r="FW474" s="39"/>
      <c r="FX474" s="39"/>
      <c r="FY474" s="39"/>
      <c r="FZ474" s="39"/>
      <c r="GA474" s="39"/>
      <c r="GB474" s="39"/>
      <c r="GC474" s="46"/>
      <c r="GD474" s="46"/>
      <c r="GE474" s="39"/>
      <c r="GF474" s="39"/>
      <c r="GG474" s="39"/>
      <c r="GH474" s="39"/>
      <c r="GI474" s="39"/>
      <c r="GJ474" s="39"/>
      <c r="GK474" s="39"/>
      <c r="GL474" s="39"/>
      <c r="GM474" s="46"/>
      <c r="GN474" s="46"/>
      <c r="GO474" s="39"/>
      <c r="GP474" s="46"/>
      <c r="GQ474" s="46"/>
      <c r="GR474" s="39"/>
      <c r="GS474" s="39"/>
      <c r="GT474" s="46"/>
      <c r="GU474" s="172"/>
      <c r="GV474" s="39"/>
      <c r="GW474" s="39"/>
      <c r="GX474" s="39"/>
      <c r="GY474" s="39"/>
      <c r="GZ474" s="39"/>
      <c r="HA474" s="39"/>
      <c r="HB474" s="46"/>
      <c r="HC474" s="46"/>
      <c r="HD474" s="39"/>
      <c r="HE474" s="39"/>
      <c r="HF474" s="209"/>
      <c r="HG474" s="172"/>
    </row>
    <row r="475" spans="1:215" ht="15.75" hidden="1">
      <c r="C475" s="199" t="s">
        <v>148</v>
      </c>
      <c r="D475" s="46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F475" s="39"/>
      <c r="AG475" s="39"/>
      <c r="AH475" s="39"/>
      <c r="AI475" s="39"/>
      <c r="AJ475" s="39"/>
      <c r="AK475" s="39"/>
      <c r="AL475" s="39"/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  <c r="AW475" s="39"/>
      <c r="AX475" s="39"/>
      <c r="AY475" s="39"/>
      <c r="AZ475" s="39"/>
      <c r="BA475" s="39"/>
      <c r="BB475" s="39"/>
      <c r="BC475" s="39"/>
      <c r="BD475" s="39"/>
      <c r="BE475" s="39"/>
      <c r="BF475" s="39"/>
      <c r="BG475" s="39"/>
      <c r="BH475" s="39"/>
      <c r="BI475" s="39"/>
      <c r="BJ475" s="39"/>
      <c r="BK475" s="46"/>
      <c r="BL475" s="46"/>
      <c r="BM475" s="46"/>
      <c r="BN475" s="46"/>
      <c r="BO475" s="46"/>
      <c r="BP475" s="46"/>
      <c r="BQ475" s="46"/>
      <c r="BR475" s="46"/>
      <c r="BS475" s="46"/>
      <c r="BT475" s="46"/>
      <c r="BU475" s="46"/>
      <c r="BV475" s="46"/>
      <c r="BW475" s="46"/>
      <c r="BX475" s="46"/>
      <c r="BY475" s="46"/>
      <c r="BZ475" s="46"/>
      <c r="CA475" s="46"/>
      <c r="CB475" s="46"/>
      <c r="CC475" s="46"/>
      <c r="CD475" s="46"/>
      <c r="CE475" s="46"/>
      <c r="CF475" s="46"/>
      <c r="CG475" s="46"/>
      <c r="CH475" s="46"/>
      <c r="CI475" s="46"/>
      <c r="CJ475" s="46"/>
      <c r="CK475" s="46"/>
      <c r="CL475" s="46"/>
      <c r="CM475" s="46"/>
      <c r="CN475" s="46"/>
      <c r="CO475" s="46"/>
      <c r="CP475" s="46"/>
      <c r="CQ475" s="46"/>
      <c r="CR475" s="46"/>
      <c r="CS475" s="46"/>
      <c r="CT475" s="46"/>
      <c r="CU475" s="46"/>
      <c r="CV475" s="46"/>
      <c r="CW475" s="46"/>
      <c r="CX475" s="46"/>
      <c r="CY475" s="39"/>
      <c r="CZ475" s="39"/>
      <c r="DA475" s="39"/>
      <c r="DB475" s="39"/>
      <c r="DC475" s="46"/>
      <c r="DD475" s="46"/>
      <c r="DE475" s="46"/>
      <c r="DF475" s="46"/>
      <c r="DG475" s="46"/>
      <c r="DH475" s="46"/>
      <c r="DI475" s="39"/>
      <c r="DJ475" s="80"/>
      <c r="DK475" s="39"/>
      <c r="DL475" s="39"/>
      <c r="DM475" s="39"/>
      <c r="DN475" s="39"/>
      <c r="DO475" s="39"/>
      <c r="DP475" s="39"/>
      <c r="DQ475" s="39"/>
      <c r="DR475" s="39"/>
      <c r="DS475" s="39"/>
      <c r="DT475" s="39"/>
      <c r="DU475" s="39"/>
      <c r="DV475" s="39"/>
      <c r="DW475" s="39"/>
      <c r="DX475" s="46"/>
      <c r="DY475" s="46"/>
      <c r="DZ475" s="46"/>
      <c r="EA475" s="46"/>
      <c r="EB475" s="46"/>
      <c r="EC475" s="39"/>
      <c r="ED475" s="39"/>
      <c r="EE475" s="39"/>
      <c r="EF475" s="39"/>
      <c r="EG475" s="39"/>
      <c r="EH475" s="39"/>
      <c r="EI475" s="39"/>
      <c r="EJ475" s="39"/>
      <c r="EK475" s="39"/>
      <c r="EL475" s="46"/>
      <c r="EM475" s="46"/>
      <c r="EN475" s="39"/>
      <c r="EO475" s="39"/>
      <c r="EP475" s="39"/>
      <c r="EQ475" s="39"/>
      <c r="ER475" s="39"/>
      <c r="ES475" s="39"/>
      <c r="ET475" s="39"/>
      <c r="EU475" s="39"/>
      <c r="EV475" s="39"/>
      <c r="EW475" s="39"/>
      <c r="EX475" s="39"/>
      <c r="EY475" s="39"/>
      <c r="EZ475" s="39"/>
      <c r="FA475" s="39"/>
      <c r="FB475" s="39"/>
      <c r="FC475" s="39"/>
      <c r="FD475" s="39"/>
      <c r="FE475" s="39"/>
      <c r="FF475" s="39"/>
      <c r="FG475" s="39"/>
      <c r="FH475" s="39"/>
      <c r="FI475" s="39"/>
      <c r="FJ475" s="46"/>
      <c r="FK475" s="46"/>
      <c r="FL475" s="46"/>
      <c r="FM475" s="46"/>
      <c r="FN475" s="46"/>
      <c r="FO475" s="39"/>
      <c r="FP475" s="46"/>
      <c r="FQ475" s="46"/>
      <c r="FR475" s="39"/>
      <c r="FS475" s="39"/>
      <c r="FT475" s="46"/>
      <c r="FU475" s="46"/>
      <c r="FV475" s="39"/>
      <c r="FW475" s="39"/>
      <c r="FX475" s="39"/>
      <c r="FY475" s="39"/>
      <c r="FZ475" s="39"/>
      <c r="GA475" s="39"/>
      <c r="GB475" s="39"/>
      <c r="GC475" s="46"/>
      <c r="GD475" s="46"/>
      <c r="GE475" s="39"/>
      <c r="GF475" s="39"/>
      <c r="GG475" s="39"/>
      <c r="GH475" s="39"/>
      <c r="GI475" s="39"/>
      <c r="GJ475" s="39"/>
      <c r="GK475" s="39"/>
      <c r="GL475" s="39"/>
      <c r="GM475" s="46"/>
      <c r="GN475" s="46"/>
      <c r="GO475" s="39"/>
      <c r="GP475" s="46"/>
      <c r="GQ475" s="46"/>
      <c r="GR475" s="39"/>
      <c r="GS475" s="39"/>
      <c r="GT475" s="46"/>
      <c r="GU475" s="172"/>
      <c r="GV475" s="39"/>
      <c r="GW475" s="39"/>
      <c r="GX475" s="39"/>
      <c r="GY475" s="39"/>
      <c r="GZ475" s="39"/>
      <c r="HA475" s="39"/>
      <c r="HB475" s="46"/>
      <c r="HC475" s="46"/>
      <c r="HD475" s="39"/>
      <c r="HE475" s="39"/>
      <c r="HF475" s="209"/>
      <c r="HG475" s="172"/>
    </row>
    <row r="476" spans="1:215" ht="15.75" hidden="1">
      <c r="C476" s="199" t="s">
        <v>148</v>
      </c>
      <c r="D476" s="46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F476" s="39"/>
      <c r="AG476" s="39"/>
      <c r="AH476" s="39"/>
      <c r="AI476" s="39"/>
      <c r="AJ476" s="39"/>
      <c r="AK476" s="39"/>
      <c r="AL476" s="39"/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  <c r="AW476" s="39"/>
      <c r="AX476" s="39"/>
      <c r="AY476" s="39"/>
      <c r="AZ476" s="39"/>
      <c r="BA476" s="39"/>
      <c r="BB476" s="39"/>
      <c r="BC476" s="39"/>
      <c r="BD476" s="39"/>
      <c r="BE476" s="39"/>
      <c r="BF476" s="39"/>
      <c r="BG476" s="39"/>
      <c r="BH476" s="39"/>
      <c r="BI476" s="39"/>
      <c r="BJ476" s="39"/>
      <c r="BK476" s="46"/>
      <c r="BL476" s="46"/>
      <c r="BM476" s="46"/>
      <c r="BN476" s="46"/>
      <c r="BO476" s="46"/>
      <c r="BP476" s="46"/>
      <c r="BQ476" s="46"/>
      <c r="BR476" s="46"/>
      <c r="BS476" s="46"/>
      <c r="BT476" s="46"/>
      <c r="BU476" s="46"/>
      <c r="BV476" s="46"/>
      <c r="BW476" s="46"/>
      <c r="BX476" s="46"/>
      <c r="BY476" s="46"/>
      <c r="BZ476" s="46"/>
      <c r="CA476" s="46"/>
      <c r="CB476" s="46"/>
      <c r="CC476" s="46"/>
      <c r="CD476" s="46"/>
      <c r="CE476" s="46"/>
      <c r="CF476" s="46"/>
      <c r="CG476" s="46"/>
      <c r="CH476" s="46"/>
      <c r="CI476" s="46"/>
      <c r="CJ476" s="46"/>
      <c r="CK476" s="46"/>
      <c r="CL476" s="46"/>
      <c r="CM476" s="46"/>
      <c r="CN476" s="46"/>
      <c r="CO476" s="46"/>
      <c r="CP476" s="46"/>
      <c r="CQ476" s="46"/>
      <c r="CR476" s="46"/>
      <c r="CS476" s="46"/>
      <c r="CT476" s="46"/>
      <c r="CU476" s="46"/>
      <c r="CV476" s="46"/>
      <c r="CW476" s="46"/>
      <c r="CX476" s="46"/>
      <c r="CY476" s="39"/>
      <c r="CZ476" s="39"/>
      <c r="DA476" s="39"/>
      <c r="DB476" s="39"/>
      <c r="DC476" s="46"/>
      <c r="DD476" s="46"/>
      <c r="DE476" s="46"/>
      <c r="DF476" s="46"/>
      <c r="DG476" s="46"/>
      <c r="DH476" s="46"/>
      <c r="DI476" s="39"/>
      <c r="DJ476" s="80"/>
      <c r="DK476" s="39"/>
      <c r="DL476" s="39"/>
      <c r="DM476" s="39"/>
      <c r="DN476" s="39"/>
      <c r="DO476" s="39"/>
      <c r="DP476" s="39"/>
      <c r="DQ476" s="39"/>
      <c r="DR476" s="39"/>
      <c r="DS476" s="39"/>
      <c r="DT476" s="39"/>
      <c r="DU476" s="39"/>
      <c r="DV476" s="39"/>
      <c r="DW476" s="39"/>
      <c r="DX476" s="46"/>
      <c r="DY476" s="46"/>
      <c r="DZ476" s="46"/>
      <c r="EA476" s="46"/>
      <c r="EB476" s="46"/>
      <c r="EC476" s="39"/>
      <c r="ED476" s="39"/>
      <c r="EE476" s="39"/>
      <c r="EF476" s="39"/>
      <c r="EG476" s="39"/>
      <c r="EH476" s="39"/>
      <c r="EI476" s="39"/>
      <c r="EJ476" s="39"/>
      <c r="EK476" s="39"/>
      <c r="EL476" s="46"/>
      <c r="EM476" s="46"/>
      <c r="EN476" s="39"/>
      <c r="EO476" s="39"/>
      <c r="EP476" s="39"/>
      <c r="EQ476" s="39"/>
      <c r="ER476" s="39"/>
      <c r="ES476" s="39"/>
      <c r="ET476" s="39"/>
      <c r="EU476" s="39"/>
      <c r="EV476" s="39"/>
      <c r="EW476" s="39"/>
      <c r="EX476" s="39"/>
      <c r="EY476" s="39"/>
      <c r="EZ476" s="39"/>
      <c r="FA476" s="39"/>
      <c r="FB476" s="39"/>
      <c r="FC476" s="39"/>
      <c r="FD476" s="39"/>
      <c r="FE476" s="39"/>
      <c r="FF476" s="39"/>
      <c r="FG476" s="39"/>
      <c r="FH476" s="39"/>
      <c r="FI476" s="39"/>
      <c r="FJ476" s="46"/>
      <c r="FK476" s="46"/>
      <c r="FL476" s="46"/>
      <c r="FM476" s="46"/>
      <c r="FN476" s="46"/>
      <c r="FO476" s="39"/>
      <c r="FP476" s="46"/>
      <c r="FQ476" s="46"/>
      <c r="FR476" s="39"/>
      <c r="FS476" s="39"/>
      <c r="FT476" s="46"/>
      <c r="FU476" s="46"/>
      <c r="FV476" s="39"/>
      <c r="FW476" s="39"/>
      <c r="FX476" s="39"/>
      <c r="FY476" s="39"/>
      <c r="FZ476" s="39"/>
      <c r="GA476" s="39"/>
      <c r="GB476" s="39"/>
      <c r="GC476" s="46"/>
      <c r="GD476" s="46"/>
      <c r="GE476" s="39"/>
      <c r="GF476" s="39"/>
      <c r="GG476" s="39"/>
      <c r="GH476" s="39"/>
      <c r="GI476" s="39"/>
      <c r="GJ476" s="39"/>
      <c r="GK476" s="39"/>
      <c r="GL476" s="39"/>
      <c r="GM476" s="46"/>
      <c r="GN476" s="46"/>
      <c r="GO476" s="39"/>
      <c r="GP476" s="46"/>
      <c r="GQ476" s="46"/>
      <c r="GR476" s="39"/>
      <c r="GS476" s="39"/>
      <c r="GT476" s="46"/>
      <c r="GU476" s="172"/>
      <c r="GV476" s="39"/>
      <c r="GW476" s="39"/>
      <c r="GX476" s="39"/>
      <c r="GY476" s="39"/>
      <c r="GZ476" s="39"/>
      <c r="HA476" s="39"/>
      <c r="HB476" s="46"/>
      <c r="HC476" s="46"/>
      <c r="HD476" s="39"/>
      <c r="HE476" s="39"/>
      <c r="HF476" s="209"/>
      <c r="HG476" s="172"/>
    </row>
    <row r="477" spans="1:215" ht="15.75" hidden="1">
      <c r="C477" s="199" t="s">
        <v>148</v>
      </c>
      <c r="D477" s="46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F477" s="39"/>
      <c r="AG477" s="39"/>
      <c r="AH477" s="39"/>
      <c r="AI477" s="39"/>
      <c r="AJ477" s="39"/>
      <c r="AK477" s="39"/>
      <c r="AL477" s="39"/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  <c r="AW477" s="39"/>
      <c r="AX477" s="39"/>
      <c r="AY477" s="39"/>
      <c r="AZ477" s="39"/>
      <c r="BA477" s="39"/>
      <c r="BB477" s="39"/>
      <c r="BC477" s="39"/>
      <c r="BD477" s="39"/>
      <c r="BE477" s="39"/>
      <c r="BF477" s="39"/>
      <c r="BG477" s="39"/>
      <c r="BH477" s="39"/>
      <c r="BI477" s="39"/>
      <c r="BJ477" s="39"/>
      <c r="BK477" s="46"/>
      <c r="BL477" s="46"/>
      <c r="BM477" s="46"/>
      <c r="BN477" s="46"/>
      <c r="BO477" s="46"/>
      <c r="BP477" s="46"/>
      <c r="BQ477" s="46"/>
      <c r="BR477" s="46"/>
      <c r="BS477" s="46"/>
      <c r="BT477" s="46"/>
      <c r="BU477" s="46"/>
      <c r="BV477" s="46"/>
      <c r="BW477" s="46"/>
      <c r="BX477" s="46"/>
      <c r="BY477" s="46"/>
      <c r="BZ477" s="46"/>
      <c r="CA477" s="46"/>
      <c r="CB477" s="46"/>
      <c r="CC477" s="46"/>
      <c r="CD477" s="46"/>
      <c r="CE477" s="46"/>
      <c r="CF477" s="46"/>
      <c r="CG477" s="46"/>
      <c r="CH477" s="46"/>
      <c r="CI477" s="46"/>
      <c r="CJ477" s="46"/>
      <c r="CK477" s="46"/>
      <c r="CL477" s="46"/>
      <c r="CM477" s="46"/>
      <c r="CN477" s="46"/>
      <c r="CO477" s="46"/>
      <c r="CP477" s="46"/>
      <c r="CQ477" s="46"/>
      <c r="CR477" s="46"/>
      <c r="CS477" s="46"/>
      <c r="CT477" s="46"/>
      <c r="CU477" s="46"/>
      <c r="CV477" s="46"/>
      <c r="CW477" s="46"/>
      <c r="CX477" s="46"/>
      <c r="CY477" s="39"/>
      <c r="CZ477" s="39"/>
      <c r="DA477" s="39"/>
      <c r="DB477" s="39"/>
      <c r="DC477" s="46"/>
      <c r="DD477" s="46"/>
      <c r="DE477" s="46"/>
      <c r="DF477" s="46"/>
      <c r="DG477" s="46"/>
      <c r="DH477" s="46"/>
      <c r="DI477" s="39"/>
      <c r="DJ477" s="80"/>
      <c r="DK477" s="39"/>
      <c r="DL477" s="39"/>
      <c r="DM477" s="39"/>
      <c r="DN477" s="39"/>
      <c r="DO477" s="39"/>
      <c r="DP477" s="39"/>
      <c r="DQ477" s="39"/>
      <c r="DR477" s="39"/>
      <c r="DS477" s="39"/>
      <c r="DT477" s="39"/>
      <c r="DU477" s="39"/>
      <c r="DV477" s="39"/>
      <c r="DW477" s="39"/>
      <c r="DX477" s="46"/>
      <c r="DY477" s="46"/>
      <c r="DZ477" s="46"/>
      <c r="EA477" s="46"/>
      <c r="EB477" s="46"/>
      <c r="EC477" s="39"/>
      <c r="ED477" s="39"/>
      <c r="EE477" s="39"/>
      <c r="EF477" s="39"/>
      <c r="EG477" s="39"/>
      <c r="EH477" s="39"/>
      <c r="EI477" s="39"/>
      <c r="EJ477" s="39"/>
      <c r="EK477" s="39"/>
      <c r="EL477" s="46"/>
      <c r="EM477" s="46"/>
      <c r="EN477" s="39"/>
      <c r="EO477" s="39"/>
      <c r="EP477" s="39"/>
      <c r="EQ477" s="39"/>
      <c r="ER477" s="39"/>
      <c r="ES477" s="39"/>
      <c r="ET477" s="39"/>
      <c r="EU477" s="39"/>
      <c r="EV477" s="39"/>
      <c r="EW477" s="39"/>
      <c r="EX477" s="39"/>
      <c r="EY477" s="39"/>
      <c r="EZ477" s="39"/>
      <c r="FA477" s="39"/>
      <c r="FB477" s="39"/>
      <c r="FC477" s="39"/>
      <c r="FD477" s="39"/>
      <c r="FE477" s="39"/>
      <c r="FF477" s="39"/>
      <c r="FG477" s="39"/>
      <c r="FH477" s="39"/>
      <c r="FI477" s="39"/>
      <c r="FJ477" s="46"/>
      <c r="FK477" s="46"/>
      <c r="FL477" s="46"/>
      <c r="FM477" s="46"/>
      <c r="FN477" s="46"/>
      <c r="FO477" s="39"/>
      <c r="FP477" s="46"/>
      <c r="FQ477" s="46"/>
      <c r="FR477" s="39"/>
      <c r="FS477" s="39"/>
      <c r="FT477" s="46"/>
      <c r="FU477" s="46"/>
      <c r="FV477" s="39"/>
      <c r="FW477" s="39"/>
      <c r="FX477" s="39"/>
      <c r="FY477" s="39"/>
      <c r="FZ477" s="39"/>
      <c r="GA477" s="39"/>
      <c r="GB477" s="39"/>
      <c r="GC477" s="46"/>
      <c r="GD477" s="46"/>
      <c r="GE477" s="39"/>
      <c r="GF477" s="39"/>
      <c r="GG477" s="39"/>
      <c r="GH477" s="39"/>
      <c r="GI477" s="39"/>
      <c r="GJ477" s="39"/>
      <c r="GK477" s="39"/>
      <c r="GL477" s="39"/>
      <c r="GM477" s="46"/>
      <c r="GN477" s="46"/>
      <c r="GO477" s="39"/>
      <c r="GP477" s="46"/>
      <c r="GQ477" s="46"/>
      <c r="GR477" s="39"/>
      <c r="GS477" s="39"/>
      <c r="GT477" s="46"/>
      <c r="GU477" s="172"/>
      <c r="GV477" s="39"/>
      <c r="GW477" s="39"/>
      <c r="GX477" s="39"/>
      <c r="GY477" s="39"/>
      <c r="GZ477" s="39"/>
      <c r="HA477" s="39"/>
      <c r="HB477" s="46"/>
      <c r="HC477" s="46"/>
      <c r="HD477" s="39"/>
      <c r="HE477" s="39"/>
      <c r="HF477" s="209"/>
      <c r="HG477" s="172"/>
    </row>
    <row r="478" spans="1:215" ht="15.75" hidden="1">
      <c r="C478" s="199" t="s">
        <v>148</v>
      </c>
      <c r="D478" s="46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39"/>
      <c r="AK478" s="39"/>
      <c r="AL478" s="39"/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  <c r="AW478" s="39"/>
      <c r="AX478" s="39"/>
      <c r="AY478" s="39"/>
      <c r="AZ478" s="39"/>
      <c r="BA478" s="39"/>
      <c r="BB478" s="39"/>
      <c r="BC478" s="39"/>
      <c r="BD478" s="39"/>
      <c r="BE478" s="39"/>
      <c r="BF478" s="39"/>
      <c r="BG478" s="39"/>
      <c r="BH478" s="39"/>
      <c r="BI478" s="39"/>
      <c r="BJ478" s="39"/>
      <c r="BK478" s="46"/>
      <c r="BL478" s="46"/>
      <c r="BM478" s="46"/>
      <c r="BN478" s="46"/>
      <c r="BO478" s="46"/>
      <c r="BP478" s="46"/>
      <c r="BQ478" s="46"/>
      <c r="BR478" s="46"/>
      <c r="BS478" s="46"/>
      <c r="BT478" s="46"/>
      <c r="BU478" s="46"/>
      <c r="BV478" s="46"/>
      <c r="BW478" s="46"/>
      <c r="BX478" s="46"/>
      <c r="BY478" s="46"/>
      <c r="BZ478" s="46"/>
      <c r="CA478" s="46"/>
      <c r="CB478" s="46"/>
      <c r="CC478" s="46"/>
      <c r="CD478" s="46"/>
      <c r="CE478" s="46"/>
      <c r="CF478" s="46"/>
      <c r="CG478" s="46"/>
      <c r="CH478" s="46"/>
      <c r="CI478" s="46"/>
      <c r="CJ478" s="46"/>
      <c r="CK478" s="46"/>
      <c r="CL478" s="46"/>
      <c r="CM478" s="46"/>
      <c r="CN478" s="46"/>
      <c r="CO478" s="46"/>
      <c r="CP478" s="46"/>
      <c r="CQ478" s="46"/>
      <c r="CR478" s="46"/>
      <c r="CS478" s="46"/>
      <c r="CT478" s="46"/>
      <c r="CU478" s="46"/>
      <c r="CV478" s="46"/>
      <c r="CW478" s="46"/>
      <c r="CX478" s="46"/>
      <c r="CY478" s="39"/>
      <c r="CZ478" s="39"/>
      <c r="DA478" s="39"/>
      <c r="DB478" s="39"/>
      <c r="DC478" s="46"/>
      <c r="DD478" s="46"/>
      <c r="DE478" s="46"/>
      <c r="DF478" s="46"/>
      <c r="DG478" s="46"/>
      <c r="DH478" s="46"/>
      <c r="DI478" s="39"/>
      <c r="DJ478" s="80"/>
      <c r="DK478" s="39"/>
      <c r="DL478" s="39"/>
      <c r="DM478" s="39"/>
      <c r="DN478" s="39"/>
      <c r="DO478" s="39"/>
      <c r="DP478" s="39"/>
      <c r="DQ478" s="39"/>
      <c r="DR478" s="39"/>
      <c r="DS478" s="39"/>
      <c r="DT478" s="39"/>
      <c r="DU478" s="39"/>
      <c r="DV478" s="39"/>
      <c r="DW478" s="39"/>
      <c r="DX478" s="46"/>
      <c r="DY478" s="46"/>
      <c r="DZ478" s="46"/>
      <c r="EA478" s="46"/>
      <c r="EB478" s="46"/>
      <c r="EC478" s="39"/>
      <c r="ED478" s="39"/>
      <c r="EE478" s="39"/>
      <c r="EF478" s="39"/>
      <c r="EG478" s="39"/>
      <c r="EH478" s="39"/>
      <c r="EI478" s="39"/>
      <c r="EJ478" s="39"/>
      <c r="EK478" s="39"/>
      <c r="EL478" s="46"/>
      <c r="EM478" s="46"/>
      <c r="EN478" s="39"/>
      <c r="EO478" s="39"/>
      <c r="EP478" s="39"/>
      <c r="EQ478" s="39"/>
      <c r="ER478" s="39"/>
      <c r="ES478" s="39"/>
      <c r="ET478" s="39"/>
      <c r="EU478" s="39"/>
      <c r="EV478" s="39"/>
      <c r="EW478" s="39"/>
      <c r="EX478" s="39"/>
      <c r="EY478" s="39"/>
      <c r="EZ478" s="39"/>
      <c r="FA478" s="39"/>
      <c r="FB478" s="39"/>
      <c r="FC478" s="39"/>
      <c r="FD478" s="39"/>
      <c r="FE478" s="39"/>
      <c r="FF478" s="39"/>
      <c r="FG478" s="39"/>
      <c r="FH478" s="39"/>
      <c r="FI478" s="39"/>
      <c r="FJ478" s="46"/>
      <c r="FK478" s="46"/>
      <c r="FL478" s="46"/>
      <c r="FM478" s="46"/>
      <c r="FN478" s="46"/>
      <c r="FO478" s="39"/>
      <c r="FP478" s="46"/>
      <c r="FQ478" s="46"/>
      <c r="FR478" s="39"/>
      <c r="FS478" s="39"/>
      <c r="FT478" s="46"/>
      <c r="FU478" s="46"/>
      <c r="FV478" s="39"/>
      <c r="FW478" s="39"/>
      <c r="FX478" s="39"/>
      <c r="FY478" s="39"/>
      <c r="FZ478" s="39"/>
      <c r="GA478" s="39"/>
      <c r="GB478" s="39"/>
      <c r="GC478" s="46"/>
      <c r="GD478" s="46"/>
      <c r="GE478" s="39"/>
      <c r="GF478" s="39"/>
      <c r="GG478" s="39"/>
      <c r="GH478" s="39"/>
      <c r="GI478" s="39"/>
      <c r="GJ478" s="39"/>
      <c r="GK478" s="39"/>
      <c r="GL478" s="39"/>
      <c r="GM478" s="46"/>
      <c r="GN478" s="46"/>
      <c r="GO478" s="39"/>
      <c r="GP478" s="46"/>
      <c r="GQ478" s="46"/>
      <c r="GR478" s="39"/>
      <c r="GS478" s="39"/>
      <c r="GT478" s="46"/>
      <c r="GU478" s="172"/>
      <c r="GV478" s="39"/>
      <c r="GW478" s="39"/>
      <c r="GX478" s="39"/>
      <c r="GY478" s="39"/>
      <c r="GZ478" s="39"/>
      <c r="HA478" s="39"/>
      <c r="HB478" s="46"/>
      <c r="HC478" s="46"/>
      <c r="HD478" s="39"/>
      <c r="HE478" s="39"/>
      <c r="HF478" s="209"/>
      <c r="HG478" s="172"/>
    </row>
    <row r="479" spans="1:215" ht="15.75" hidden="1">
      <c r="C479" s="199" t="s">
        <v>148</v>
      </c>
      <c r="D479" s="46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F479" s="39"/>
      <c r="AG479" s="39"/>
      <c r="AH479" s="39"/>
      <c r="AI479" s="39"/>
      <c r="AJ479" s="39"/>
      <c r="AK479" s="39"/>
      <c r="AL479" s="39"/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  <c r="AW479" s="39"/>
      <c r="AX479" s="39"/>
      <c r="AY479" s="39"/>
      <c r="AZ479" s="39"/>
      <c r="BA479" s="39"/>
      <c r="BB479" s="39"/>
      <c r="BC479" s="39"/>
      <c r="BD479" s="39"/>
      <c r="BE479" s="39"/>
      <c r="BF479" s="39"/>
      <c r="BG479" s="39"/>
      <c r="BH479" s="39"/>
      <c r="BI479" s="39"/>
      <c r="BJ479" s="39"/>
      <c r="BK479" s="46"/>
      <c r="BL479" s="46"/>
      <c r="BM479" s="46"/>
      <c r="BN479" s="46"/>
      <c r="BO479" s="46"/>
      <c r="BP479" s="46"/>
      <c r="BQ479" s="46"/>
      <c r="BR479" s="46"/>
      <c r="BS479" s="46"/>
      <c r="BT479" s="46"/>
      <c r="BU479" s="46"/>
      <c r="BV479" s="46"/>
      <c r="BW479" s="46"/>
      <c r="BX479" s="46"/>
      <c r="BY479" s="46"/>
      <c r="BZ479" s="46"/>
      <c r="CA479" s="46"/>
      <c r="CB479" s="46"/>
      <c r="CC479" s="46"/>
      <c r="CD479" s="46"/>
      <c r="CE479" s="46"/>
      <c r="CF479" s="46"/>
      <c r="CG479" s="46"/>
      <c r="CH479" s="46"/>
      <c r="CI479" s="46"/>
      <c r="CJ479" s="46"/>
      <c r="CK479" s="46"/>
      <c r="CL479" s="46"/>
      <c r="CM479" s="46"/>
      <c r="CN479" s="46"/>
      <c r="CO479" s="46"/>
      <c r="CP479" s="46"/>
      <c r="CQ479" s="46"/>
      <c r="CR479" s="46"/>
      <c r="CS479" s="46"/>
      <c r="CT479" s="46"/>
      <c r="CU479" s="46"/>
      <c r="CV479" s="46"/>
      <c r="CW479" s="46"/>
      <c r="CX479" s="46"/>
      <c r="CY479" s="39"/>
      <c r="CZ479" s="39"/>
      <c r="DA479" s="39"/>
      <c r="DB479" s="39"/>
      <c r="DC479" s="46"/>
      <c r="DD479" s="46"/>
      <c r="DE479" s="46"/>
      <c r="DF479" s="46"/>
      <c r="DG479" s="46"/>
      <c r="DH479" s="46"/>
      <c r="DI479" s="39"/>
      <c r="DJ479" s="80"/>
      <c r="DK479" s="39"/>
      <c r="DL479" s="39"/>
      <c r="DM479" s="39"/>
      <c r="DN479" s="39"/>
      <c r="DO479" s="39"/>
      <c r="DP479" s="39"/>
      <c r="DQ479" s="39"/>
      <c r="DR479" s="39"/>
      <c r="DS479" s="39"/>
      <c r="DT479" s="39"/>
      <c r="DU479" s="39"/>
      <c r="DV479" s="39"/>
      <c r="DW479" s="39"/>
      <c r="DX479" s="46"/>
      <c r="DY479" s="46"/>
      <c r="DZ479" s="46"/>
      <c r="EA479" s="46"/>
      <c r="EB479" s="46"/>
      <c r="EC479" s="39"/>
      <c r="ED479" s="39"/>
      <c r="EE479" s="39"/>
      <c r="EF479" s="39"/>
      <c r="EG479" s="39"/>
      <c r="EH479" s="39"/>
      <c r="EI479" s="39"/>
      <c r="EJ479" s="39"/>
      <c r="EK479" s="39"/>
      <c r="EL479" s="46"/>
      <c r="EM479" s="46"/>
      <c r="EN479" s="39"/>
      <c r="EO479" s="39"/>
      <c r="EP479" s="39"/>
      <c r="EQ479" s="39"/>
      <c r="ER479" s="39"/>
      <c r="ES479" s="39"/>
      <c r="ET479" s="39"/>
      <c r="EU479" s="39"/>
      <c r="EV479" s="39"/>
      <c r="EW479" s="39"/>
      <c r="EX479" s="39"/>
      <c r="EY479" s="39"/>
      <c r="EZ479" s="39"/>
      <c r="FA479" s="39"/>
      <c r="FB479" s="39"/>
      <c r="FC479" s="39"/>
      <c r="FD479" s="39"/>
      <c r="FE479" s="39"/>
      <c r="FF479" s="39"/>
      <c r="FG479" s="39"/>
      <c r="FH479" s="39"/>
      <c r="FI479" s="39"/>
      <c r="FJ479" s="46"/>
      <c r="FK479" s="46"/>
      <c r="FL479" s="46"/>
      <c r="FM479" s="46"/>
      <c r="FN479" s="46"/>
      <c r="FO479" s="39"/>
      <c r="FP479" s="46"/>
      <c r="FQ479" s="46"/>
      <c r="FR479" s="39"/>
      <c r="FS479" s="39"/>
      <c r="FT479" s="46"/>
      <c r="FU479" s="46"/>
      <c r="FV479" s="39"/>
      <c r="FW479" s="39"/>
      <c r="FX479" s="39"/>
      <c r="FY479" s="39"/>
      <c r="FZ479" s="39"/>
      <c r="GA479" s="39"/>
      <c r="GB479" s="39"/>
      <c r="GC479" s="46"/>
      <c r="GD479" s="46"/>
      <c r="GE479" s="39"/>
      <c r="GF479" s="39"/>
      <c r="GG479" s="39"/>
      <c r="GH479" s="39"/>
      <c r="GI479" s="39"/>
      <c r="GJ479" s="39"/>
      <c r="GK479" s="39"/>
      <c r="GL479" s="39"/>
      <c r="GM479" s="46"/>
      <c r="GN479" s="46"/>
      <c r="GO479" s="39"/>
      <c r="GP479" s="46"/>
      <c r="GQ479" s="46"/>
      <c r="GR479" s="39"/>
      <c r="GS479" s="39"/>
      <c r="GT479" s="46"/>
      <c r="GU479" s="172"/>
      <c r="GV479" s="39"/>
      <c r="GW479" s="39"/>
      <c r="GX479" s="39"/>
      <c r="GY479" s="39"/>
      <c r="GZ479" s="39"/>
      <c r="HA479" s="39"/>
      <c r="HB479" s="46"/>
      <c r="HC479" s="46"/>
      <c r="HD479" s="39"/>
      <c r="HE479" s="39"/>
      <c r="HF479" s="209"/>
      <c r="HG479" s="172"/>
    </row>
    <row r="480" spans="1:215" ht="15.75">
      <c r="C480" s="199" t="s">
        <v>634</v>
      </c>
      <c r="D480" s="46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F480" s="39"/>
      <c r="AG480" s="39"/>
      <c r="AH480" s="39"/>
      <c r="AI480" s="39"/>
      <c r="AJ480" s="39"/>
      <c r="AK480" s="39"/>
      <c r="AL480" s="39"/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  <c r="AW480" s="39"/>
      <c r="AX480" s="39"/>
      <c r="AY480" s="39"/>
      <c r="AZ480" s="39"/>
      <c r="BA480" s="39"/>
      <c r="BB480" s="39"/>
      <c r="BC480" s="39"/>
      <c r="BD480" s="39"/>
      <c r="BE480" s="39"/>
      <c r="BF480" s="39"/>
      <c r="BG480" s="39"/>
      <c r="BH480" s="39"/>
      <c r="BI480" s="39"/>
      <c r="BJ480" s="39"/>
      <c r="BK480" s="46"/>
      <c r="BL480" s="46"/>
      <c r="BM480" s="46"/>
      <c r="BN480" s="46"/>
      <c r="BO480" s="46"/>
      <c r="BP480" s="46"/>
      <c r="BQ480" s="46"/>
      <c r="BR480" s="46"/>
      <c r="BS480" s="46"/>
      <c r="BT480" s="46"/>
      <c r="BU480" s="46"/>
      <c r="BV480" s="46"/>
      <c r="BW480" s="46"/>
      <c r="BX480" s="46"/>
      <c r="BY480" s="46"/>
      <c r="BZ480" s="46"/>
      <c r="CA480" s="46"/>
      <c r="CB480" s="46"/>
      <c r="CC480" s="46"/>
      <c r="CD480" s="46"/>
      <c r="CE480" s="46"/>
      <c r="CF480" s="46"/>
      <c r="CG480" s="46"/>
      <c r="CH480" s="46"/>
      <c r="CI480" s="46"/>
      <c r="CJ480" s="46"/>
      <c r="CK480" s="46"/>
      <c r="CL480" s="46"/>
      <c r="CM480" s="46"/>
      <c r="CN480" s="46"/>
      <c r="CO480" s="46"/>
      <c r="CP480" s="46"/>
      <c r="CQ480" s="46"/>
      <c r="CR480" s="46"/>
      <c r="CS480" s="46"/>
      <c r="CT480" s="46"/>
      <c r="CU480" s="46"/>
      <c r="CV480" s="46"/>
      <c r="CW480" s="46"/>
      <c r="CX480" s="46"/>
      <c r="CY480" s="39"/>
      <c r="CZ480" s="39"/>
      <c r="DA480" s="39"/>
      <c r="DB480" s="39"/>
      <c r="DC480" s="46"/>
      <c r="DD480" s="46"/>
      <c r="DE480" s="46"/>
      <c r="DF480" s="46"/>
      <c r="DG480" s="46"/>
      <c r="DH480" s="46"/>
      <c r="DI480" s="39"/>
      <c r="DJ480" s="80"/>
      <c r="DK480" s="39"/>
      <c r="DL480" s="39"/>
      <c r="DM480" s="39"/>
      <c r="DN480" s="39"/>
      <c r="DO480" s="39"/>
      <c r="DP480" s="39"/>
      <c r="DQ480" s="39"/>
      <c r="DR480" s="39"/>
      <c r="DS480" s="39"/>
      <c r="DT480" s="39"/>
      <c r="DU480" s="39"/>
      <c r="DV480" s="39"/>
      <c r="DW480" s="39"/>
      <c r="DX480" s="46"/>
      <c r="DY480" s="46"/>
      <c r="DZ480" s="46"/>
      <c r="EA480" s="46"/>
      <c r="EB480" s="46"/>
      <c r="EC480" s="39"/>
      <c r="ED480" s="39"/>
      <c r="EE480" s="39"/>
      <c r="EF480" s="39"/>
      <c r="EG480" s="39"/>
      <c r="EH480" s="39"/>
      <c r="EI480" s="39"/>
      <c r="EJ480" s="39"/>
      <c r="EK480" s="39"/>
      <c r="EL480" s="46"/>
      <c r="EM480" s="46"/>
      <c r="EN480" s="39"/>
      <c r="EO480" s="39"/>
      <c r="EP480" s="39"/>
      <c r="EQ480" s="39"/>
      <c r="ER480" s="39"/>
      <c r="ES480" s="39"/>
      <c r="ET480" s="39"/>
      <c r="EU480" s="39"/>
      <c r="EV480" s="39"/>
      <c r="EW480" s="39"/>
      <c r="EX480" s="39"/>
      <c r="EY480" s="39"/>
      <c r="EZ480" s="39"/>
      <c r="FA480" s="39"/>
      <c r="FB480" s="39"/>
      <c r="FC480" s="39"/>
      <c r="FD480" s="39"/>
      <c r="FE480" s="39"/>
      <c r="FF480" s="39"/>
      <c r="FG480" s="39"/>
      <c r="FH480" s="39"/>
      <c r="FI480" s="39"/>
      <c r="FJ480" s="46"/>
      <c r="FK480" s="46"/>
      <c r="FL480" s="46"/>
      <c r="FM480" s="46"/>
      <c r="FN480" s="46"/>
      <c r="FO480" s="39"/>
      <c r="FP480" s="46"/>
      <c r="FQ480" s="46"/>
      <c r="FR480" s="39"/>
      <c r="FS480" s="39"/>
      <c r="FT480" s="46"/>
      <c r="FU480" s="46"/>
      <c r="FV480" s="39"/>
      <c r="FW480" s="39"/>
      <c r="FX480" s="39"/>
      <c r="FY480" s="39"/>
      <c r="FZ480" s="39"/>
      <c r="GA480" s="39"/>
      <c r="GB480" s="39"/>
      <c r="GC480" s="46"/>
      <c r="GD480" s="46"/>
      <c r="GE480" s="39"/>
      <c r="GF480" s="39"/>
      <c r="GG480" s="39"/>
      <c r="GH480" s="39"/>
      <c r="GI480" s="39"/>
      <c r="GJ480" s="39"/>
      <c r="GK480" s="39"/>
      <c r="GL480" s="39"/>
      <c r="GM480" s="46"/>
      <c r="GN480" s="46"/>
      <c r="GO480" s="39"/>
      <c r="GP480" s="46"/>
      <c r="GQ480" s="46"/>
      <c r="GR480" s="39"/>
      <c r="GS480" s="39"/>
      <c r="GT480" s="46"/>
      <c r="GU480" s="172"/>
      <c r="GV480" s="39"/>
      <c r="GW480" s="39"/>
      <c r="GX480" s="39"/>
      <c r="GY480" s="39"/>
      <c r="GZ480" s="39"/>
      <c r="HA480" s="39"/>
      <c r="HB480" s="46"/>
      <c r="HC480" s="46"/>
      <c r="HD480" s="39"/>
      <c r="HE480" s="39"/>
      <c r="HF480" s="209"/>
      <c r="HG480" s="172"/>
    </row>
    <row r="481" spans="3:215" ht="15.75">
      <c r="C481" s="161" t="s">
        <v>635</v>
      </c>
      <c r="D481" s="173"/>
      <c r="E481" s="173"/>
      <c r="F481" s="74"/>
      <c r="G481" s="74"/>
      <c r="H481" s="74"/>
      <c r="I481" s="173"/>
      <c r="J481" s="173"/>
      <c r="K481" s="173"/>
      <c r="L481" s="173"/>
      <c r="M481" s="173"/>
      <c r="N481" s="173"/>
      <c r="O481" s="76"/>
      <c r="P481" s="76"/>
      <c r="Q481" s="76"/>
      <c r="R481" s="173"/>
      <c r="S481" s="173"/>
      <c r="T481" s="173"/>
      <c r="U481" s="173"/>
      <c r="V481" s="52"/>
      <c r="W481" s="52"/>
      <c r="X481" s="52"/>
      <c r="Y481" s="52"/>
      <c r="Z481" s="22"/>
      <c r="AA481" s="52"/>
      <c r="AB481" s="22"/>
      <c r="AC481" s="22"/>
      <c r="AD481" s="22"/>
      <c r="AE481" s="22"/>
      <c r="AF481" s="22"/>
      <c r="AG481" s="22"/>
      <c r="AH481" s="22"/>
      <c r="AI481" s="22"/>
      <c r="AJ481" s="5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77"/>
      <c r="AW481" s="77"/>
      <c r="AX481" s="78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  <c r="BI481" s="22"/>
      <c r="BJ481" s="40"/>
      <c r="BK481" s="19"/>
      <c r="BL481" s="19"/>
      <c r="BM481" s="19"/>
      <c r="BN481" s="19"/>
      <c r="BO481" s="19"/>
      <c r="BP481" s="19"/>
      <c r="BQ481" s="19"/>
      <c r="BR481" s="19"/>
      <c r="BS481" s="19"/>
      <c r="BT481" s="19"/>
      <c r="BU481" s="19"/>
      <c r="BV481" s="19"/>
      <c r="BW481" s="19"/>
      <c r="BX481" s="19"/>
      <c r="BY481" s="19"/>
      <c r="BZ481" s="19"/>
      <c r="CA481" s="19"/>
      <c r="CB481" s="19"/>
      <c r="CC481" s="19"/>
      <c r="CD481" s="19"/>
      <c r="CE481" s="48"/>
      <c r="CF481" s="48"/>
      <c r="CG481" s="48"/>
      <c r="CH481" s="48"/>
      <c r="CI481" s="48"/>
      <c r="CJ481" s="48"/>
      <c r="CK481" s="48"/>
      <c r="CL481" s="48"/>
      <c r="CM481" s="48"/>
      <c r="CN481" s="48"/>
      <c r="CO481" s="48"/>
      <c r="CP481" s="48"/>
      <c r="CQ481" s="48"/>
      <c r="CR481" s="48"/>
      <c r="CS481" s="48"/>
      <c r="CT481" s="48"/>
      <c r="CU481" s="48"/>
      <c r="CV481" s="48"/>
      <c r="CW481" s="19"/>
      <c r="CX481" s="19"/>
      <c r="CY481" s="19"/>
      <c r="CZ481" s="19"/>
      <c r="DA481" s="21"/>
      <c r="DB481" s="21"/>
      <c r="DC481" s="79"/>
      <c r="DD481" s="79"/>
      <c r="DE481" s="79"/>
      <c r="DF481" s="79"/>
      <c r="DG481" s="79"/>
      <c r="DH481" s="51"/>
      <c r="DI481" s="39"/>
      <c r="DJ481" s="80"/>
      <c r="DK481" s="39"/>
      <c r="DL481" s="39"/>
      <c r="DM481" s="48"/>
      <c r="DN481" s="39"/>
      <c r="DO481" s="39"/>
      <c r="DP481" s="39"/>
      <c r="DQ481" s="39"/>
      <c r="DR481" s="39"/>
      <c r="DS481" s="39"/>
      <c r="DT481" s="39"/>
      <c r="DU481" s="19"/>
      <c r="DV481" s="40"/>
      <c r="DW481" s="40"/>
      <c r="DX481" s="21"/>
      <c r="DY481" s="21"/>
      <c r="DZ481" s="19"/>
      <c r="EA481" s="19"/>
      <c r="EB481" s="19"/>
      <c r="EC481" s="48"/>
      <c r="ED481" s="48"/>
      <c r="EE481" s="22"/>
      <c r="EF481" s="22"/>
      <c r="EG481" s="22"/>
      <c r="EH481" s="22"/>
      <c r="EI481" s="22"/>
      <c r="EJ481" s="22"/>
      <c r="EK481" s="83"/>
      <c r="EL481" s="19"/>
      <c r="EM481" s="19"/>
      <c r="EN481" s="40"/>
      <c r="EO481" s="40"/>
      <c r="EP481" s="40"/>
      <c r="EQ481" s="21"/>
      <c r="ER481" s="21"/>
      <c r="ES481" s="19"/>
      <c r="ET481" s="19"/>
      <c r="EU481" s="19"/>
      <c r="EV481" s="21"/>
      <c r="EW481" s="39"/>
      <c r="EX481" s="39"/>
      <c r="EY481" s="39"/>
      <c r="EZ481" s="39"/>
      <c r="FA481" s="39"/>
      <c r="FB481" s="39"/>
      <c r="FC481" s="39"/>
      <c r="FD481" s="39"/>
      <c r="FE481" s="39"/>
      <c r="FF481" s="39"/>
      <c r="FG481" s="39"/>
      <c r="FH481" s="39"/>
      <c r="FI481" s="39"/>
      <c r="FJ481" s="19"/>
      <c r="FK481" s="19"/>
      <c r="FL481" s="19"/>
      <c r="FM481" s="19"/>
      <c r="FN481" s="19"/>
      <c r="FO481" s="57">
        <v>326.68</v>
      </c>
      <c r="FP481" s="57">
        <v>365.9</v>
      </c>
      <c r="FQ481" s="57">
        <f t="shared" ref="FQ481" si="1702">+IF(FO481=0,,FP481/FO481*100)</f>
        <v>112.00563242316639</v>
      </c>
      <c r="FR481" s="57">
        <v>392.02</v>
      </c>
      <c r="FS481" s="57">
        <v>439.08</v>
      </c>
      <c r="FT481" s="57">
        <f t="shared" ref="FT481" si="1703">+IF(FR481=0,,FS481/FR481*100)</f>
        <v>112.00448956685885</v>
      </c>
      <c r="FU481" s="83" t="s">
        <v>625</v>
      </c>
      <c r="FV481" s="19"/>
      <c r="FW481" s="19"/>
      <c r="FX481" s="58"/>
      <c r="FY481" s="58"/>
      <c r="FZ481" s="58"/>
      <c r="GA481" s="19"/>
      <c r="GB481" s="19"/>
      <c r="GC481" s="20"/>
      <c r="GD481" s="20"/>
      <c r="GE481" s="19"/>
      <c r="GF481" s="19"/>
      <c r="GG481" s="19"/>
      <c r="GH481" s="19"/>
      <c r="GI481" s="19"/>
      <c r="GJ481" s="19"/>
      <c r="GK481" s="19"/>
      <c r="GL481" s="19"/>
      <c r="GM481" s="19"/>
      <c r="GN481" s="19"/>
      <c r="GO481" s="57">
        <v>365.9</v>
      </c>
      <c r="GP481" s="57">
        <v>622.91</v>
      </c>
      <c r="GQ481" s="57"/>
      <c r="GR481" s="57">
        <v>439.08</v>
      </c>
      <c r="GS481" s="57">
        <v>747.49</v>
      </c>
      <c r="GT481" s="57"/>
      <c r="GU481" s="83" t="s">
        <v>625</v>
      </c>
      <c r="GV481" s="19"/>
      <c r="GW481" s="19"/>
      <c r="GX481" s="19"/>
      <c r="GY481" s="19"/>
      <c r="GZ481" s="23"/>
      <c r="HA481" s="57">
        <v>622.91</v>
      </c>
      <c r="HB481" s="57">
        <v>460</v>
      </c>
      <c r="HC481" s="57"/>
      <c r="HD481" s="57">
        <v>747.49</v>
      </c>
      <c r="HE481" s="57">
        <v>552</v>
      </c>
      <c r="HF481" s="57"/>
      <c r="HG481" s="235" t="s">
        <v>625</v>
      </c>
    </row>
  </sheetData>
  <mergeCells count="304">
    <mergeCell ref="FU186:FU187"/>
    <mergeCell ref="GU186:GU187"/>
    <mergeCell ref="FU153:FU154"/>
    <mergeCell ref="GU153:GU154"/>
    <mergeCell ref="FU61:FU62"/>
    <mergeCell ref="GU61:GU62"/>
    <mergeCell ref="FU59:FU60"/>
    <mergeCell ref="GU59:GU60"/>
    <mergeCell ref="FU57:FU58"/>
    <mergeCell ref="GU57:GU58"/>
    <mergeCell ref="FU149:FU151"/>
    <mergeCell ref="GU149:GU151"/>
    <mergeCell ref="FU165:FU166"/>
    <mergeCell ref="GU165:GU166"/>
    <mergeCell ref="AK1:AP1"/>
    <mergeCell ref="W4:AB4"/>
    <mergeCell ref="AC4:AG4"/>
    <mergeCell ref="AH4:AH5"/>
    <mergeCell ref="AI4:AN4"/>
    <mergeCell ref="AO4:AO5"/>
    <mergeCell ref="BA4:BA5"/>
    <mergeCell ref="BB4:BB5"/>
    <mergeCell ref="BC4:BE4"/>
    <mergeCell ref="AP4:AP5"/>
    <mergeCell ref="AQ4:AU4"/>
    <mergeCell ref="AW4:AW5"/>
    <mergeCell ref="AX4:AX5"/>
    <mergeCell ref="AY4:AY5"/>
    <mergeCell ref="AZ4:AZ5"/>
    <mergeCell ref="CA4:CD4"/>
    <mergeCell ref="CE4:CE5"/>
    <mergeCell ref="CF4:CF5"/>
    <mergeCell ref="B4:B5"/>
    <mergeCell ref="C4:C5"/>
    <mergeCell ref="D4:D5"/>
    <mergeCell ref="E4:E5"/>
    <mergeCell ref="F4:F5"/>
    <mergeCell ref="G4:G5"/>
    <mergeCell ref="H4:H5"/>
    <mergeCell ref="I4:I5"/>
    <mergeCell ref="V4:V5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BF4:BH4"/>
    <mergeCell ref="BJ4:BJ5"/>
    <mergeCell ref="BK4:BN4"/>
    <mergeCell ref="CS4:CS5"/>
    <mergeCell ref="CT4:CT5"/>
    <mergeCell ref="CU4:CU5"/>
    <mergeCell ref="CV4:CV5"/>
    <mergeCell ref="CW4:CX4"/>
    <mergeCell ref="CY4:CZ4"/>
    <mergeCell ref="CM4:CM5"/>
    <mergeCell ref="CN4:CN5"/>
    <mergeCell ref="CO4:CO5"/>
    <mergeCell ref="CP4:CP5"/>
    <mergeCell ref="CQ4:CQ5"/>
    <mergeCell ref="CR4:CR5"/>
    <mergeCell ref="CG4:CG5"/>
    <mergeCell ref="CH4:CH5"/>
    <mergeCell ref="CI4:CI5"/>
    <mergeCell ref="CJ4:CJ5"/>
    <mergeCell ref="CK4:CK5"/>
    <mergeCell ref="CL4:CL5"/>
    <mergeCell ref="BO4:BR4"/>
    <mergeCell ref="BS4:BV4"/>
    <mergeCell ref="BW4:BZ4"/>
    <mergeCell ref="DV4:DW4"/>
    <mergeCell ref="DX4:DY4"/>
    <mergeCell ref="DZ4:DZ5"/>
    <mergeCell ref="EA4:EA5"/>
    <mergeCell ref="EB4:EB5"/>
    <mergeCell ref="EC4:EC5"/>
    <mergeCell ref="DA4:DB4"/>
    <mergeCell ref="DC4:DD4"/>
    <mergeCell ref="DE4:DE5"/>
    <mergeCell ref="DF4:DF5"/>
    <mergeCell ref="DG4:DG5"/>
    <mergeCell ref="DH4:DH5"/>
    <mergeCell ref="EN4:EO4"/>
    <mergeCell ref="EP4:EP5"/>
    <mergeCell ref="ES4:ES5"/>
    <mergeCell ref="ET4:ET5"/>
    <mergeCell ref="EU4:EU5"/>
    <mergeCell ref="EV4:EV5"/>
    <mergeCell ref="ED4:ED5"/>
    <mergeCell ref="EE4:EG4"/>
    <mergeCell ref="EH4:EJ4"/>
    <mergeCell ref="EK4:EK5"/>
    <mergeCell ref="EL4:EL5"/>
    <mergeCell ref="EM4:EM5"/>
    <mergeCell ref="FR4:FT4"/>
    <mergeCell ref="FU4:FU5"/>
    <mergeCell ref="FV4:FV5"/>
    <mergeCell ref="EX4:EX5"/>
    <mergeCell ref="EY4:EY5"/>
    <mergeCell ref="FH4:FH5"/>
    <mergeCell ref="FJ4:FJ5"/>
    <mergeCell ref="FK4:FK5"/>
    <mergeCell ref="FL4:FL5"/>
    <mergeCell ref="FM4:FM5"/>
    <mergeCell ref="FN4:FN5"/>
    <mergeCell ref="FO4:FQ4"/>
    <mergeCell ref="GX4:GY4"/>
    <mergeCell ref="GZ4:GZ5"/>
    <mergeCell ref="HA4:HC4"/>
    <mergeCell ref="GK4:GK5"/>
    <mergeCell ref="GL4:GL5"/>
    <mergeCell ref="GM4:GM5"/>
    <mergeCell ref="GN4:GN5"/>
    <mergeCell ref="GO4:GQ4"/>
    <mergeCell ref="GR4:GT4"/>
    <mergeCell ref="FU11:FU12"/>
    <mergeCell ref="GU11:GU12"/>
    <mergeCell ref="GU4:GU5"/>
    <mergeCell ref="GV4:GV5"/>
    <mergeCell ref="GW4:GW5"/>
    <mergeCell ref="GE4:GE5"/>
    <mergeCell ref="GF4:GF5"/>
    <mergeCell ref="GG4:GG5"/>
    <mergeCell ref="GH4:GH5"/>
    <mergeCell ref="GI4:GI5"/>
    <mergeCell ref="GJ4:GJ5"/>
    <mergeCell ref="FW4:FW5"/>
    <mergeCell ref="FX4:FX5"/>
    <mergeCell ref="FY4:FZ4"/>
    <mergeCell ref="GA4:GB4"/>
    <mergeCell ref="GC4:GC5"/>
    <mergeCell ref="GD4:GD5"/>
    <mergeCell ref="AX54:AX55"/>
    <mergeCell ref="BJ54:BJ55"/>
    <mergeCell ref="EK54:EK55"/>
    <mergeCell ref="FU54:FU55"/>
    <mergeCell ref="GU54:GU55"/>
    <mergeCell ref="FU21:FU24"/>
    <mergeCell ref="GU21:GU24"/>
    <mergeCell ref="AX21:AX24"/>
    <mergeCell ref="BJ21:BJ24"/>
    <mergeCell ref="EK21:EK24"/>
    <mergeCell ref="GU45:GU46"/>
    <mergeCell ref="GU47:GU48"/>
    <mergeCell ref="FU45:FU48"/>
    <mergeCell ref="AX80:AX81"/>
    <mergeCell ref="BJ80:BJ81"/>
    <mergeCell ref="EK80:EK81"/>
    <mergeCell ref="FU80:FU81"/>
    <mergeCell ref="GU80:GU81"/>
    <mergeCell ref="GU88:GU89"/>
    <mergeCell ref="AX92:AX94"/>
    <mergeCell ref="BJ92:BJ94"/>
    <mergeCell ref="EK92:EK94"/>
    <mergeCell ref="FU92:FU94"/>
    <mergeCell ref="GU92:GU94"/>
    <mergeCell ref="AX88:AX89"/>
    <mergeCell ref="BJ88:BJ89"/>
    <mergeCell ref="EK88:EK89"/>
    <mergeCell ref="FU88:FU89"/>
    <mergeCell ref="AX107:AX108"/>
    <mergeCell ref="BJ107:BJ108"/>
    <mergeCell ref="EK107:EK108"/>
    <mergeCell ref="FU107:FU108"/>
    <mergeCell ref="GU107:GU108"/>
    <mergeCell ref="AX140:AX141"/>
    <mergeCell ref="AX144:AX146"/>
    <mergeCell ref="BJ144:BJ146"/>
    <mergeCell ref="EK144:EK146"/>
    <mergeCell ref="AX130:AX133"/>
    <mergeCell ref="BJ130:BJ133"/>
    <mergeCell ref="EK130:EK133"/>
    <mergeCell ref="FU144:FU146"/>
    <mergeCell ref="GU144:GU146"/>
    <mergeCell ref="FU130:FU133"/>
    <mergeCell ref="GU130:GU133"/>
    <mergeCell ref="FU140:FU142"/>
    <mergeCell ref="GU140:GU142"/>
    <mergeCell ref="AX225:AX231"/>
    <mergeCell ref="AX236:AX237"/>
    <mergeCell ref="BJ236:BJ237"/>
    <mergeCell ref="EK236:EK237"/>
    <mergeCell ref="FU236:FU237"/>
    <mergeCell ref="GU236:GU237"/>
    <mergeCell ref="GU214:GU215"/>
    <mergeCell ref="AX222:AX224"/>
    <mergeCell ref="AX214:AX215"/>
    <mergeCell ref="BJ214:BJ215"/>
    <mergeCell ref="EK214:EK215"/>
    <mergeCell ref="FU214:FU215"/>
    <mergeCell ref="AX341:AX344"/>
    <mergeCell ref="BJ341:BJ344"/>
    <mergeCell ref="EK341:EK345"/>
    <mergeCell ref="AX251:AX252"/>
    <mergeCell ref="BJ251:BJ252"/>
    <mergeCell ref="EK251:EK252"/>
    <mergeCell ref="FU251:FU252"/>
    <mergeCell ref="GU251:GU252"/>
    <mergeCell ref="EK262:EK264"/>
    <mergeCell ref="FU262:FU264"/>
    <mergeCell ref="GU262:GU264"/>
    <mergeCell ref="AX303:AX304"/>
    <mergeCell ref="BJ303:BJ304"/>
    <mergeCell ref="EK303:EK304"/>
    <mergeCell ref="FU303:FU304"/>
    <mergeCell ref="GU303:GU304"/>
    <mergeCell ref="FU338:FU339"/>
    <mergeCell ref="GU338:GU339"/>
    <mergeCell ref="FU277:FU280"/>
    <mergeCell ref="GU277:GU280"/>
    <mergeCell ref="GU318:GU320"/>
    <mergeCell ref="FU292:FU293"/>
    <mergeCell ref="GU292:GU293"/>
    <mergeCell ref="AX399:AX400"/>
    <mergeCell ref="BJ399:BJ400"/>
    <mergeCell ref="EK399:EK400"/>
    <mergeCell ref="FU399:FU400"/>
    <mergeCell ref="GU399:GU400"/>
    <mergeCell ref="AX369:AX370"/>
    <mergeCell ref="BJ369:BJ370"/>
    <mergeCell ref="EK369:EK370"/>
    <mergeCell ref="FU369:FU370"/>
    <mergeCell ref="GU369:GU370"/>
    <mergeCell ref="FU389:FU390"/>
    <mergeCell ref="GU389:GU390"/>
    <mergeCell ref="HG4:HG5"/>
    <mergeCell ref="HG11:HG12"/>
    <mergeCell ref="HG21:HG24"/>
    <mergeCell ref="HG54:HG55"/>
    <mergeCell ref="HD4:HE4"/>
    <mergeCell ref="B2:HE2"/>
    <mergeCell ref="BJ393:BJ395"/>
    <mergeCell ref="EK393:EK395"/>
    <mergeCell ref="FU393:FU395"/>
    <mergeCell ref="GU393:GU395"/>
    <mergeCell ref="AX394:AX395"/>
    <mergeCell ref="AX354:AX357"/>
    <mergeCell ref="BJ354:BJ357"/>
    <mergeCell ref="EK354:EK357"/>
    <mergeCell ref="FU354:FU357"/>
    <mergeCell ref="GU354:GU357"/>
    <mergeCell ref="AX350:AX351"/>
    <mergeCell ref="BJ350:BJ351"/>
    <mergeCell ref="EK350:EK351"/>
    <mergeCell ref="FU350:FU351"/>
    <mergeCell ref="AX318:AX319"/>
    <mergeCell ref="BJ318:BJ320"/>
    <mergeCell ref="EK318:EK320"/>
    <mergeCell ref="FU318:FU320"/>
    <mergeCell ref="HG399:HG400"/>
    <mergeCell ref="HG303:HG304"/>
    <mergeCell ref="HG318:HG320"/>
    <mergeCell ref="HG341:HG345"/>
    <mergeCell ref="HG350:HG351"/>
    <mergeCell ref="HG354:HG357"/>
    <mergeCell ref="HG336:HG337"/>
    <mergeCell ref="HG80:HG81"/>
    <mergeCell ref="HG88:HG89"/>
    <mergeCell ref="HG92:HG94"/>
    <mergeCell ref="HG107:HG108"/>
    <mergeCell ref="HG130:HG133"/>
    <mergeCell ref="HG140:HG142"/>
    <mergeCell ref="HG144:HG146"/>
    <mergeCell ref="HG338:HG339"/>
    <mergeCell ref="HG188:HG189"/>
    <mergeCell ref="HG191:HG193"/>
    <mergeCell ref="HG214:HG215"/>
    <mergeCell ref="HG186:HG187"/>
    <mergeCell ref="HG153:HG154"/>
    <mergeCell ref="HG180:HG181"/>
    <mergeCell ref="HG236:HG237"/>
    <mergeCell ref="HG251:HG252"/>
    <mergeCell ref="HG262:HG264"/>
    <mergeCell ref="HG277:HG280"/>
    <mergeCell ref="HG158:HG159"/>
    <mergeCell ref="HG160:HG161"/>
    <mergeCell ref="HG369:HG370"/>
    <mergeCell ref="GU350:GU351"/>
    <mergeCell ref="FU306:FU307"/>
    <mergeCell ref="GU306:GU307"/>
    <mergeCell ref="HG393:HG395"/>
    <mergeCell ref="FU341:FU345"/>
    <mergeCell ref="GU341:GU345"/>
    <mergeCell ref="FU336:FU337"/>
    <mergeCell ref="GU336:GU337"/>
    <mergeCell ref="FU191:FU193"/>
    <mergeCell ref="GU191:GU193"/>
    <mergeCell ref="FU158:FU159"/>
    <mergeCell ref="GU158:GU159"/>
    <mergeCell ref="FU188:FU189"/>
    <mergeCell ref="GU188:GU189"/>
    <mergeCell ref="FU180:FU181"/>
    <mergeCell ref="GU180:GU181"/>
    <mergeCell ref="FU201:FU202"/>
    <mergeCell ref="GU201:GU202"/>
    <mergeCell ref="FU160:FU161"/>
    <mergeCell ref="GU160:GU161"/>
  </mergeCells>
  <hyperlinks>
    <hyperlink ref="EK26" r:id="rId1" tooltip="Poc53_4_03_12_2014.pdf" display="http://www.tarif53.ru/PK14/Poc53_4_03_12_2014.pdf"/>
    <hyperlink ref="EK156" r:id="rId2" tooltip="Poc53_5_03_12_2014.pdf" display="http://www.tarif53.ru/PK14/Poc53_5_03_12_2014.pdf"/>
  </hyperlinks>
  <pageMargins left="0" right="0" top="0.39370078740157483" bottom="0.39370078740157483" header="0.27559055118110237" footer="0.27559055118110237"/>
  <pageSetup paperSize="9" scale="55" fitToHeight="0" orientation="landscape" r:id="rId3"/>
  <headerFooter alignWithMargins="0"/>
  <rowBreaks count="4" manualBreakCount="4">
    <brk id="85" max="213" man="1"/>
    <brk id="189" max="213" man="1"/>
    <brk id="246" max="213" man="1"/>
    <brk id="285" max="213" man="1"/>
  </rowBreaks>
  <colBreaks count="1" manualBreakCount="1">
    <brk id="213" max="846" man="1"/>
  </colBreak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"/>
  <sheetViews>
    <sheetView workbookViewId="0">
      <selection activeCell="C10" sqref="C10"/>
    </sheetView>
  </sheetViews>
  <sheetFormatPr defaultRowHeight="12.75"/>
  <cols>
    <col min="2" max="3" width="14.7109375" style="18" bestFit="1" customWidth="1"/>
    <col min="4" max="4" width="10.85546875" style="18" bestFit="1" customWidth="1"/>
    <col min="5" max="5" width="9.140625" style="18"/>
  </cols>
  <sheetData>
    <row r="1" spans="1:4">
      <c r="B1" s="18" t="s">
        <v>592</v>
      </c>
      <c r="C1" s="18" t="s">
        <v>593</v>
      </c>
      <c r="D1" s="18" t="s">
        <v>594</v>
      </c>
    </row>
    <row r="2" spans="1:4">
      <c r="B2" s="18">
        <v>3978363.9051360236</v>
      </c>
      <c r="C2" s="18">
        <v>7538411.2761486219</v>
      </c>
      <c r="D2" s="18">
        <f>(C2/B2)*1000</f>
        <v>1894.852119087602</v>
      </c>
    </row>
    <row r="3" spans="1:4">
      <c r="A3" t="s">
        <v>589</v>
      </c>
      <c r="B3" s="18">
        <v>2446691.3510824144</v>
      </c>
      <c r="C3" s="18">
        <v>5550245.7888112934</v>
      </c>
      <c r="D3" s="18">
        <f>(C3/B3)*1000</f>
        <v>2268.4699426251168</v>
      </c>
    </row>
    <row r="4" spans="1:4">
      <c r="A4" t="s">
        <v>590</v>
      </c>
      <c r="B4" s="18">
        <v>1008164</v>
      </c>
      <c r="C4" s="18">
        <v>1125552.8848787278</v>
      </c>
      <c r="D4" s="18">
        <f>(C4/B4)*1000</f>
        <v>1116.4382827384511</v>
      </c>
    </row>
    <row r="5" spans="1:4">
      <c r="A5" t="s">
        <v>591</v>
      </c>
      <c r="B5" s="18">
        <f>B2-B3-B4</f>
        <v>523508.55405360926</v>
      </c>
      <c r="C5" s="18">
        <f>C2-C3-C4</f>
        <v>862612.60245860065</v>
      </c>
      <c r="D5" s="18">
        <f>(C5/B5)*1000</f>
        <v>1647.7526408675758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2019-2021</vt:lpstr>
      <vt:lpstr>Лист2</vt:lpstr>
      <vt:lpstr>'2019-2021'!Заголовки_для_печати</vt:lpstr>
      <vt:lpstr>'2019-2021'!Область_печати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Ольга Викторовна</dc:creator>
  <cp:lastModifiedBy>Юдина Татьяна Борисовна</cp:lastModifiedBy>
  <cp:lastPrinted>2018-07-16T09:16:09Z</cp:lastPrinted>
  <dcterms:created xsi:type="dcterms:W3CDTF">2016-12-28T07:16:35Z</dcterms:created>
  <dcterms:modified xsi:type="dcterms:W3CDTF">2019-10-08T11:49:02Z</dcterms:modified>
</cp:coreProperties>
</file>